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3YZLT43riKnnU8jo9nwiWT+88JeLhaQkVBV95ntnIaAhTeZQTZVXWAdR/CbtZ4Z6B6lcrZbSf36CvL0oYqk+Q==" workbookSaltValue="XU8jzXL4WNUSG7Q3U3an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14" i="2" s="1"/>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AL16" i="11" s="1"/>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BD9" i="8"/>
  <c r="S16" i="17"/>
  <c r="AH14" i="16"/>
  <c r="S17" i="17"/>
  <c r="L12" i="2"/>
  <c r="X19" i="16"/>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M22" i="20"/>
  <c r="U10" i="11"/>
  <c r="W22" i="21"/>
  <c r="AF22" i="20"/>
  <c r="U18" i="11"/>
  <c r="AL22" i="20"/>
  <c r="AE22" i="20"/>
  <c r="AG22" i="20"/>
  <c r="L22" i="20"/>
  <c r="N22" i="20"/>
  <c r="AE21" i="8" l="1"/>
  <c r="BA14" i="8"/>
  <c r="BG10" i="8"/>
  <c r="K10" i="7" s="1"/>
  <c r="R21" i="8"/>
  <c r="K16" i="7"/>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<sst xmlns="http://schemas.openxmlformats.org/spreadsheetml/2006/main" count="2229" uniqueCount="979">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</sst>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LhlRkPskMvdxrNYmVrYobqXbNrppQX0yPwKzU4p/CelrqdvSdITusvchDm4Hc/dTtZHV6eUKEQjm04L0OptTg==" saltValue="G3t3GRQS1Pnr1Yk4iSGt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26.705906480721904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132</v>
      </c>
      <c r="D10" s="230">
        <f>IF(ISNUMBER(Datos!I10),Datos!I10," - ")</f>
        <v>132</v>
      </c>
      <c r="E10" s="231">
        <f>IF(ISNUMBER(Datos!J10),Datos!J10," - ")</f>
        <v>35</v>
      </c>
      <c r="F10" s="231">
        <f>IF(ISNUMBER(Datos!K10),Datos!K10," - ")</f>
        <v>44</v>
      </c>
      <c r="G10" s="1193" t="str">
        <f>IF(Datos!E10&lt;&gt;"",Datos!E10,Datos!D10)</f>
        <v>37</v>
      </c>
      <c r="H10" s="232">
        <f>IF(ISNUMBER(Datos!L10),Datos!L10," - ")</f>
        <v>123</v>
      </c>
      <c r="I10" s="1203" t="str">
        <f>IF(ISNUMBER(Datos!AS10/Datos!BM10),Datos!AS10/Datos!BM10," - ")</f>
        <v xml:space="preserve"> - </v>
      </c>
      <c r="J10" s="1204">
        <f>IF(ISNUMBER(Datos!BY10/Datos!CN10),Datos!BY10/Datos!CN10," - ")</f>
        <v>0</v>
      </c>
      <c r="K10" s="235">
        <f t="shared" ref="K10:K13" si="1">IF(ISNUMBER((E10-F10)/C10),(E10-F10)/C10," - ")</f>
        <v>-6.8181818181818177E-2</v>
      </c>
      <c r="L10" s="1205">
        <f>IF(ISNUMBER(NºAsuntos!I10/NºAsuntos!G10),(NºAsuntos!I10/NºAsuntos!G10)*11," - ")</f>
        <v>30.75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132</v>
      </c>
      <c r="D14" s="1210">
        <f>SUBTOTAL(9,D9:D13)</f>
        <v>132</v>
      </c>
      <c r="E14" s="1211">
        <f>SUBTOTAL(9,E9:E13)</f>
        <v>35</v>
      </c>
      <c r="F14" s="1212">
        <f>SUBTOTAL(9,F9:F13)</f>
        <v>44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1984</v>
      </c>
      <c r="D16" s="230">
        <f>IF(ISNUMBER(IF(D_I="SI",Datos!I16,Datos!I16+Datos!AC16)),IF(D_I="SI",Datos!I16,Datos!I16+Datos!AC16)," - ")</f>
        <v>1949</v>
      </c>
      <c r="E16" s="231">
        <f>IF(ISNUMBER(IF(D_I="SI",Datos!J16,Datos!J16+Datos!AD16)),IF(D_I="SI",Datos!J16,Datos!J16+Datos!AD16)," - ")</f>
        <v>3805</v>
      </c>
      <c r="F16" s="231">
        <f>IF(ISNUMBER(IF(D_I="SI",Datos!K16,Datos!K16+Datos!AE16)),IF(D_I="SI",Datos!K16,Datos!K16+Datos!AE16)," - ")</f>
        <v>3955</v>
      </c>
      <c r="G16" s="1193" t="str">
        <f>IF(Datos!E16&lt;&gt;"",Datos!E16,Datos!D16)</f>
        <v>03</v>
      </c>
      <c r="H16" s="232">
        <f>IF(ISNUMBER(IF(D_I="SI",Datos!L16,Datos!L16+Datos!AF16)),IF(D_I="SI",Datos!L16,Datos!L16+Datos!AF16)," - ")</f>
        <v>1834</v>
      </c>
      <c r="I16" s="1203" t="str">
        <f>IF(ISNUMBER(Datos!AS16/Datos!BM16),Datos!AS16/Datos!BM16," - ")</f>
        <v xml:space="preserve"> - </v>
      </c>
      <c r="J16" s="1204">
        <f>IF(ISNUMBER(Datos!BY16/Datos!CN16),Datos!BY16/Datos!CN16," - ")</f>
        <v>0</v>
      </c>
      <c r="K16" s="235">
        <f t="shared" ref="K16:K19" si="3">IF(ISNUMBER((E16-F16)/C16),(E16-F16)/C16," - ")</f>
        <v>-7.5604838709677422E-2</v>
      </c>
      <c r="L16" s="1205">
        <f>IF(ISNUMBER(NºAsuntos!I16/NºAsuntos!G16),(NºAsuntos!I16/NºAsuntos!G16)*11," - ")</f>
        <v>5.1008849557522122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345</v>
      </c>
      <c r="D18" s="230">
        <f>IF(ISNUMBER(IF(D_I="SI",Datos!I18,Datos!I18+Datos!AC18)),IF(D_I="SI",Datos!I18,Datos!I18+Datos!AC18)," - ")</f>
        <v>341</v>
      </c>
      <c r="E18" s="231">
        <f>IF(ISNUMBER(IF(D_I="SI",Datos!J18,Datos!J18+Datos!AD18)),IF(D_I="SI",Datos!J18,Datos!J18+Datos!AD18)," - ")</f>
        <v>262</v>
      </c>
      <c r="F18" s="231">
        <f>IF(ISNUMBER(IF(D_I="SI",Datos!K18,Datos!K18+Datos!AE18)),IF(D_I="SI",Datos!K18,Datos!K18+Datos!AE18)," - ")</f>
        <v>277</v>
      </c>
      <c r="G18" s="1193" t="str">
        <f>IF(Datos!E18&lt;&gt;"",Datos!E18,Datos!D18)</f>
        <v>37</v>
      </c>
      <c r="H18" s="232">
        <f>IF(ISNUMBER(IF(D_I="SI",Datos!L18,Datos!L18+Datos!AF18)),IF(D_I="SI",Datos!L18,Datos!L18+Datos!AF18)," - ")</f>
        <v>330</v>
      </c>
      <c r="I18" s="1203" t="str">
        <f>IF(ISNUMBER(Datos!AS18/Datos!BM18),Datos!AS18/Datos!BM18," - ")</f>
        <v xml:space="preserve"> - </v>
      </c>
      <c r="J18" s="1204" t="str">
        <f>IF(ISNUMBER((Datos!BY18+Datos!BZ18)/Datos!CN18),(Datos!BY18+Datos!BZ18)/Datos!CN18," - ")</f>
        <v xml:space="preserve"> - </v>
      </c>
      <c r="K18" s="235">
        <f t="shared" si="3"/>
        <v>-4.3478260869565216E-2</v>
      </c>
      <c r="L18" s="1205">
        <f>IF(ISNUMBER(NºAsuntos!I18/NºAsuntos!G18),(NºAsuntos!I18/NºAsuntos!G18)*11," - ")</f>
        <v>13.104693140794225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2329</v>
      </c>
      <c r="D20" s="1210">
        <f>SUBTOTAL(9,D16:D19)</f>
        <v>2290</v>
      </c>
      <c r="E20" s="1211">
        <f>SUBTOTAL(9,E16:E19)</f>
        <v>4067</v>
      </c>
      <c r="F20" s="1211">
        <f>SUBTOTAL(9,F16:F19)</f>
        <v>4232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2461</v>
      </c>
      <c r="D21" s="1232">
        <f>SUBTOTAL(9,D9:D20)</f>
        <v>2422</v>
      </c>
      <c r="E21" s="1233">
        <f>SUBTOTAL(9,E9:E20)</f>
        <v>4102</v>
      </c>
      <c r="F21" s="1233">
        <f>SUBTOTAL(9,F9:F20)</f>
        <v>4276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9+cSNkWxwSQWeo1YEVqEq7MJKigm5QCB4oLvxRxWcIVEXdEG3+igPO87oV+dgeEwTjBGYCJcQMxNlRHP853AQ==" saltValue="j96aIH1Q3m1o7tFrXov2l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gLn4NGyRXCkImdl2pWgC7HiHaYblpPRBkMEksf6egSw8j2KEb2GkZM0wk7yy7UUw6lrEMJS0XKgioj0aQxjNg==" saltValue="XFF5kWNX9J/QVuDWNeOG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5561</v>
      </c>
      <c r="J9" s="186">
        <v>2458</v>
      </c>
      <c r="K9" s="186">
        <v>2216</v>
      </c>
      <c r="L9" s="186">
        <v>5781</v>
      </c>
      <c r="M9" s="186">
        <v>557</v>
      </c>
      <c r="N9" s="186">
        <v>1154</v>
      </c>
      <c r="O9" s="186">
        <v>962</v>
      </c>
      <c r="P9" s="186">
        <v>509</v>
      </c>
      <c r="Q9" s="186">
        <v>277</v>
      </c>
      <c r="R9" s="186">
        <v>6790</v>
      </c>
      <c r="S9" s="186">
        <v>5399</v>
      </c>
      <c r="T9" s="186">
        <v>2045</v>
      </c>
      <c r="U9" s="186">
        <v>1892</v>
      </c>
      <c r="V9" s="186">
        <v>5565</v>
      </c>
      <c r="W9" s="186">
        <v>459</v>
      </c>
      <c r="X9" s="193">
        <v>949</v>
      </c>
      <c r="Y9" s="196">
        <v>144</v>
      </c>
      <c r="Z9" s="186">
        <v>216</v>
      </c>
      <c r="AA9" s="186">
        <v>222</v>
      </c>
      <c r="AB9" s="186">
        <v>138</v>
      </c>
      <c r="AC9" s="186">
        <v>0</v>
      </c>
      <c r="AD9" s="186">
        <v>0</v>
      </c>
      <c r="AE9" s="186">
        <v>0</v>
      </c>
      <c r="AF9" s="193">
        <v>0</v>
      </c>
      <c r="AG9" s="196">
        <v>169</v>
      </c>
      <c r="AH9" s="186">
        <v>210</v>
      </c>
      <c r="AI9" s="186">
        <v>196</v>
      </c>
      <c r="AJ9" s="197">
        <v>170</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5568</v>
      </c>
      <c r="AZ9" s="125">
        <f>IF(ISNUMBER(IF(J_V="SI",T9,T9+AH9)),IF(J_V="SI",T9,T9+AH9)," - ")</f>
        <v>2255</v>
      </c>
      <c r="BA9" s="126">
        <f>IF(ISNUMBER(IF(J_V="SI",U9,U9+AI9)),IF(J_V="SI",U9,U9+AI9)," - ")</f>
        <v>2088</v>
      </c>
      <c r="BB9" s="126">
        <f>IF(ISNUMBER(IF(J_V="SI",V9,V9+AJ9)),IF(J_V="SI",V9,V9+AJ9)," - ")</f>
        <v>5735</v>
      </c>
      <c r="BC9" s="127">
        <f>IF(ISNUMBER(X9),X9," - ")</f>
        <v>949</v>
      </c>
      <c r="BD9" s="128">
        <f>IF(ISNUMBER(BA9/AZ9),BA9/AZ9," - ")</f>
        <v>0.9259423503325942</v>
      </c>
      <c r="BE9" s="129">
        <f>IF(ISNUMBER(BB9/BA9),BB9/BA9, " - ")</f>
        <v>2.7466475095785441</v>
      </c>
      <c r="BF9" s="129">
        <f>IF(ISNUMBER(BC9/BA9),BC9/BA9, " - ")</f>
        <v>0.45450191570881227</v>
      </c>
      <c r="BG9" s="201">
        <f>IF(ISNUMBER((AY9+AZ9)/BA9),(AY9+AZ9)/BA9," - ")</f>
        <v>3.7466475095785441</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132</v>
      </c>
      <c r="J10" s="186">
        <v>35</v>
      </c>
      <c r="K10" s="186">
        <v>44</v>
      </c>
      <c r="L10" s="186">
        <v>123</v>
      </c>
      <c r="M10" s="186">
        <v>23</v>
      </c>
      <c r="N10" s="186">
        <v>13</v>
      </c>
      <c r="O10" s="186">
        <v>8</v>
      </c>
      <c r="P10" s="186">
        <v>8</v>
      </c>
      <c r="Q10" s="186">
        <v>0</v>
      </c>
      <c r="R10" s="186">
        <v>73</v>
      </c>
      <c r="S10" s="186">
        <v>126</v>
      </c>
      <c r="T10" s="186">
        <v>44</v>
      </c>
      <c r="U10" s="186">
        <v>26</v>
      </c>
      <c r="V10" s="186">
        <v>144</v>
      </c>
      <c r="W10" s="186">
        <v>3</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126</v>
      </c>
      <c r="AZ10" s="131">
        <f t="shared" si="0"/>
        <v>44</v>
      </c>
      <c r="BA10" s="131">
        <f t="shared" si="0"/>
        <v>26</v>
      </c>
      <c r="BB10" s="131">
        <f t="shared" si="0"/>
        <v>144</v>
      </c>
      <c r="BC10" s="127">
        <f t="shared" si="0"/>
        <v>3</v>
      </c>
      <c r="BD10" s="128">
        <f>IF(ISNUMBER(BA10/AZ10),BA10/AZ10," - ")</f>
        <v>0.59090909090909094</v>
      </c>
      <c r="BE10" s="129">
        <f>IF(ISNUMBER(BB10/BA10),BB10/BA10, " - ")</f>
        <v>5.5384615384615383</v>
      </c>
      <c r="BF10" s="129">
        <f>IF(ISNUMBER(BC10/BA10),BC10/BA10, " - ")</f>
        <v>0.11538461538461539</v>
      </c>
      <c r="BG10" s="201">
        <f>IF(ISNUMBER((AY10+AZ10)/BA10),(AY10+AZ10)/BA10," - ")</f>
        <v>6.5384615384615383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5693</v>
      </c>
      <c r="J14" s="189">
        <f t="shared" si="7"/>
        <v>2493</v>
      </c>
      <c r="K14" s="189">
        <f t="shared" si="7"/>
        <v>2260</v>
      </c>
      <c r="L14" s="189">
        <f t="shared" si="7"/>
        <v>5904</v>
      </c>
      <c r="M14" s="189">
        <f t="shared" si="7"/>
        <v>580</v>
      </c>
      <c r="N14" s="189">
        <f t="shared" si="7"/>
        <v>1167</v>
      </c>
      <c r="O14" s="189">
        <f t="shared" si="7"/>
        <v>970</v>
      </c>
      <c r="P14" s="189">
        <f t="shared" si="7"/>
        <v>517</v>
      </c>
      <c r="Q14" s="189">
        <f t="shared" si="7"/>
        <v>277</v>
      </c>
      <c r="R14" s="189">
        <f t="shared" si="7"/>
        <v>6863</v>
      </c>
      <c r="S14" s="189">
        <f t="shared" si="7"/>
        <v>5525</v>
      </c>
      <c r="T14" s="189">
        <f t="shared" si="7"/>
        <v>2089</v>
      </c>
      <c r="U14" s="189">
        <f t="shared" si="7"/>
        <v>1918</v>
      </c>
      <c r="V14" s="189">
        <f t="shared" si="7"/>
        <v>5709</v>
      </c>
      <c r="W14" s="189">
        <f t="shared" si="7"/>
        <v>462</v>
      </c>
      <c r="X14" s="189">
        <f t="shared" si="7"/>
        <v>954</v>
      </c>
      <c r="Y14" s="189">
        <f t="shared" si="7"/>
        <v>144</v>
      </c>
      <c r="Z14" s="189">
        <f t="shared" si="7"/>
        <v>216</v>
      </c>
      <c r="AA14" s="189">
        <f t="shared" si="7"/>
        <v>222</v>
      </c>
      <c r="AB14" s="189">
        <f t="shared" si="7"/>
        <v>138</v>
      </c>
      <c r="AC14" s="189">
        <f t="shared" si="7"/>
        <v>0</v>
      </c>
      <c r="AD14" s="189">
        <f t="shared" si="7"/>
        <v>0</v>
      </c>
      <c r="AE14" s="189">
        <f t="shared" si="7"/>
        <v>0</v>
      </c>
      <c r="AF14" s="189">
        <f>SUBTOTAL(9,AF9:AF13)</f>
        <v>0</v>
      </c>
      <c r="AG14" s="189">
        <f t="shared" ref="AG14:AT14" si="8">SUBTOTAL(9,AG8:AG13)</f>
        <v>169</v>
      </c>
      <c r="AH14" s="189">
        <f t="shared" si="8"/>
        <v>210</v>
      </c>
      <c r="AI14" s="189">
        <f t="shared" si="8"/>
        <v>196</v>
      </c>
      <c r="AJ14" s="189">
        <f t="shared" si="8"/>
        <v>170</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5694</v>
      </c>
      <c r="AZ14" s="189">
        <f>SUBTOTAL(9,AZ8:AZ13)</f>
        <v>2299</v>
      </c>
      <c r="BA14" s="189">
        <f>SUBTOTAL(9,BA8:BA13)</f>
        <v>2114</v>
      </c>
      <c r="BB14" s="189">
        <f>SUBTOTAL(9,BB8:BB13)</f>
        <v>5879</v>
      </c>
      <c r="BC14" s="189">
        <f>SUBTOTAL(9,BC8:BC13)</f>
        <v>952</v>
      </c>
      <c r="BD14" s="210">
        <f>IF(ISNUMBER(BA14/AZ14),BA14/AZ14," - ")</f>
        <v>0.91953023053501526</v>
      </c>
      <c r="BE14" s="211">
        <f>IF(ISNUMBER(BB14/BA14),BB14/BA14, " - ")</f>
        <v>2.7809839167455062</v>
      </c>
      <c r="BF14" s="211">
        <f>IF(ISNUMBER(BC14/BA14),BC14/BA14, " - ")</f>
        <v>0.45033112582781459</v>
      </c>
      <c r="BG14" s="212">
        <f>IF(ISNUMBER((AY14+AZ14)/BA14),(AY14+AZ14)/BA14," - ")</f>
        <v>3.7809839167455062</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1949</v>
      </c>
      <c r="J16" s="188">
        <v>3805</v>
      </c>
      <c r="K16" s="188">
        <v>3955</v>
      </c>
      <c r="L16" s="188">
        <v>1834</v>
      </c>
      <c r="M16" s="188">
        <v>276</v>
      </c>
      <c r="N16" s="188">
        <v>2874</v>
      </c>
      <c r="O16" s="186">
        <v>38</v>
      </c>
      <c r="P16" s="188">
        <v>71</v>
      </c>
      <c r="Q16" s="188">
        <v>48</v>
      </c>
      <c r="R16" s="188">
        <v>217</v>
      </c>
      <c r="S16" s="188">
        <v>2075</v>
      </c>
      <c r="T16" s="188">
        <v>3388</v>
      </c>
      <c r="U16" s="188">
        <v>3552</v>
      </c>
      <c r="V16" s="188">
        <v>1887</v>
      </c>
      <c r="W16" s="188">
        <v>315</v>
      </c>
      <c r="X16" s="194">
        <v>2385</v>
      </c>
      <c r="Y16" s="207">
        <v>0</v>
      </c>
      <c r="Z16" s="188">
        <v>0</v>
      </c>
      <c r="AA16" s="188">
        <v>0</v>
      </c>
      <c r="AB16" s="188">
        <v>0</v>
      </c>
      <c r="AC16" s="188">
        <v>0</v>
      </c>
      <c r="AD16" s="188">
        <v>9</v>
      </c>
      <c r="AE16" s="188">
        <v>9</v>
      </c>
      <c r="AF16" s="194">
        <v>0</v>
      </c>
      <c r="AG16" s="207">
        <v>0</v>
      </c>
      <c r="AH16" s="188">
        <v>0</v>
      </c>
      <c r="AI16" s="188">
        <v>0</v>
      </c>
      <c r="AJ16" s="208">
        <v>0</v>
      </c>
      <c r="AK16" s="187">
        <v>0</v>
      </c>
      <c r="AL16" s="188">
        <v>8</v>
      </c>
      <c r="AM16" s="188">
        <v>8</v>
      </c>
      <c r="AN16" s="194">
        <v>0</v>
      </c>
      <c r="AO16" s="264">
        <v>5</v>
      </c>
      <c r="AP16" s="160">
        <v>5</v>
      </c>
      <c r="AQ16" s="160">
        <v>5</v>
      </c>
      <c r="AR16" s="160">
        <v>5</v>
      </c>
      <c r="AS16" s="350" t="s">
        <v>588</v>
      </c>
      <c r="AT16" s="208" t="s">
        <v>360</v>
      </c>
      <c r="AU16" s="207"/>
      <c r="AV16" s="208"/>
      <c r="AW16" s="207"/>
      <c r="AX16" s="208"/>
      <c r="AY16" s="130">
        <f t="shared" ref="AY16:BB17" si="10">IF(ISNUMBER(IF(D_I="SI",S16,S16+AK16)),IF(D_I="SI",S16,S16+AK16)," - ")</f>
        <v>2075</v>
      </c>
      <c r="AZ16" s="131">
        <f t="shared" si="10"/>
        <v>3388</v>
      </c>
      <c r="BA16" s="131">
        <f t="shared" si="10"/>
        <v>3552</v>
      </c>
      <c r="BB16" s="131">
        <f t="shared" si="10"/>
        <v>1887</v>
      </c>
      <c r="BC16" s="127">
        <f>IF(ISNUMBER(W16),W16," - ")</f>
        <v>315</v>
      </c>
      <c r="BD16" s="128">
        <f>IF(ISNUMBER(BA16/AZ16),BA16/AZ16," - ")</f>
        <v>1.0484061393152302</v>
      </c>
      <c r="BE16" s="129">
        <f>IF(ISNUMBER(BB16/BA16),BB16/BA16, " - ")</f>
        <v>0.53125</v>
      </c>
      <c r="BF16" s="129">
        <f>IF(ISNUMBER(BC16/BA16),BC16/BA16, " - ")</f>
        <v>8.8682432432432429E-2</v>
      </c>
      <c r="BG16" s="201">
        <f t="shared" ref="BG16:BG19" si="11">IF(ISNUMBER((AY16+AZ16)/BA16),(AY16+AZ16)/BA16," - ")</f>
        <v>1.5380067567567568</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341</v>
      </c>
      <c r="J18" s="188">
        <v>262</v>
      </c>
      <c r="K18" s="188">
        <v>277</v>
      </c>
      <c r="L18" s="188">
        <v>330</v>
      </c>
      <c r="M18" s="188">
        <v>32</v>
      </c>
      <c r="N18" s="188">
        <v>128</v>
      </c>
      <c r="O18" s="188">
        <v>0</v>
      </c>
      <c r="P18" s="188">
        <v>1</v>
      </c>
      <c r="Q18" s="188">
        <v>0</v>
      </c>
      <c r="R18" s="188">
        <v>5</v>
      </c>
      <c r="S18" s="188">
        <v>397</v>
      </c>
      <c r="T18" s="188">
        <v>361</v>
      </c>
      <c r="U18" s="188">
        <v>398</v>
      </c>
      <c r="V18" s="188">
        <v>373</v>
      </c>
      <c r="W18" s="188">
        <v>19</v>
      </c>
      <c r="X18" s="194">
        <v>182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397</v>
      </c>
      <c r="AZ18" s="131">
        <f t="shared" si="15"/>
        <v>361</v>
      </c>
      <c r="BA18" s="131">
        <f t="shared" si="15"/>
        <v>398</v>
      </c>
      <c r="BB18" s="131">
        <f t="shared" si="15"/>
        <v>373</v>
      </c>
      <c r="BC18" s="127">
        <f>IF(ISNUMBER(W18),W18," - ")</f>
        <v>19</v>
      </c>
      <c r="BD18" s="128">
        <f>IF(ISNUMBER(BA18/AZ18),BA18/AZ18," - ")</f>
        <v>1.1024930747922437</v>
      </c>
      <c r="BE18" s="129">
        <f>IF(ISNUMBER(BB18/BA18),BB18/BA18, " - ")</f>
        <v>0.93718592964824121</v>
      </c>
      <c r="BF18" s="129">
        <f>IF(ISNUMBER(BC18/BA18),BC18/BA18, " - ")</f>
        <v>4.7738693467336682E-2</v>
      </c>
      <c r="BG18" s="201">
        <f>IF(ISNUMBER((AY18+AZ18)/BA18),(AY18+AZ18)/BA18," - ")</f>
        <v>1.9045226130653266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2290</v>
      </c>
      <c r="J20" s="189">
        <f t="shared" si="16"/>
        <v>4067</v>
      </c>
      <c r="K20" s="189">
        <f t="shared" si="16"/>
        <v>4232</v>
      </c>
      <c r="L20" s="189">
        <f t="shared" si="16"/>
        <v>2164</v>
      </c>
      <c r="M20" s="189">
        <f t="shared" si="16"/>
        <v>308</v>
      </c>
      <c r="N20" s="189">
        <f t="shared" si="16"/>
        <v>3002</v>
      </c>
      <c r="O20" s="189">
        <f t="shared" si="16"/>
        <v>38</v>
      </c>
      <c r="P20" s="189">
        <f t="shared" si="16"/>
        <v>72</v>
      </c>
      <c r="Q20" s="189">
        <f t="shared" si="16"/>
        <v>48</v>
      </c>
      <c r="R20" s="189">
        <f t="shared" si="16"/>
        <v>222</v>
      </c>
      <c r="S20" s="189">
        <f t="shared" si="16"/>
        <v>2472</v>
      </c>
      <c r="T20" s="189">
        <f t="shared" si="16"/>
        <v>3749</v>
      </c>
      <c r="U20" s="189">
        <f t="shared" si="16"/>
        <v>3950</v>
      </c>
      <c r="V20" s="189">
        <f t="shared" si="16"/>
        <v>2260</v>
      </c>
      <c r="W20" s="189">
        <f t="shared" si="16"/>
        <v>334</v>
      </c>
      <c r="X20" s="189">
        <f t="shared" si="16"/>
        <v>2567</v>
      </c>
      <c r="Y20" s="189">
        <f t="shared" si="16"/>
        <v>0</v>
      </c>
      <c r="Z20" s="189">
        <f t="shared" si="16"/>
        <v>0</v>
      </c>
      <c r="AA20" s="189">
        <f t="shared" si="16"/>
        <v>0</v>
      </c>
      <c r="AB20" s="189">
        <f t="shared" si="16"/>
        <v>0</v>
      </c>
      <c r="AC20" s="189">
        <f t="shared" si="16"/>
        <v>0</v>
      </c>
      <c r="AD20" s="189">
        <f t="shared" si="16"/>
        <v>9</v>
      </c>
      <c r="AE20" s="189">
        <f t="shared" si="16"/>
        <v>9</v>
      </c>
      <c r="AF20" s="189">
        <f t="shared" si="16"/>
        <v>0</v>
      </c>
      <c r="AG20" s="189">
        <f t="shared" si="16"/>
        <v>0</v>
      </c>
      <c r="AH20" s="189">
        <f t="shared" si="16"/>
        <v>0</v>
      </c>
      <c r="AI20" s="189">
        <f t="shared" si="16"/>
        <v>0</v>
      </c>
      <c r="AJ20" s="189">
        <f t="shared" si="16"/>
        <v>0</v>
      </c>
      <c r="AK20" s="189">
        <f t="shared" si="16"/>
        <v>0</v>
      </c>
      <c r="AL20" s="189">
        <f t="shared" si="16"/>
        <v>8</v>
      </c>
      <c r="AM20" s="189">
        <f t="shared" si="16"/>
        <v>8</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2472</v>
      </c>
      <c r="AZ20" s="189">
        <f>SUBTOTAL(9,AZ15:AZ19)</f>
        <v>3749</v>
      </c>
      <c r="BA20" s="189">
        <f>SUBTOTAL(9,BA15:BA19)</f>
        <v>3950</v>
      </c>
      <c r="BB20" s="189">
        <f>SUBTOTAL(9,BB15:BB19)</f>
        <v>2260</v>
      </c>
      <c r="BC20" s="189">
        <f>SUBTOTAL(9,BC15:BC19)</f>
        <v>334</v>
      </c>
      <c r="BD20" s="210">
        <f>IF(ISNUMBER(BA20/AZ20),BA20/AZ20," - ")</f>
        <v>1.0536142971459055</v>
      </c>
      <c r="BE20" s="211">
        <f>IF(ISNUMBER(BB20/BA20),BB20/BA20, " - ")</f>
        <v>0.57215189873417727</v>
      </c>
      <c r="BF20" s="211">
        <f>IF(ISNUMBER(BC20/BA20),BC20/BA20, " - ")</f>
        <v>8.4556962025316457E-2</v>
      </c>
      <c r="BG20" s="212">
        <f>IF(ISNUMBER((AY20+AZ20)/BA20),(AY20+AZ20)/BA20," - ")</f>
        <v>1.5749367088607595</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7983</v>
      </c>
      <c r="J21" s="136">
        <f t="shared" si="19"/>
        <v>6560</v>
      </c>
      <c r="K21" s="136">
        <f t="shared" si="19"/>
        <v>6492</v>
      </c>
      <c r="L21" s="136">
        <f t="shared" si="19"/>
        <v>8068</v>
      </c>
      <c r="M21" s="136">
        <f t="shared" si="19"/>
        <v>888</v>
      </c>
      <c r="N21" s="136">
        <f t="shared" si="19"/>
        <v>4169</v>
      </c>
      <c r="O21" s="136">
        <f t="shared" si="19"/>
        <v>1008</v>
      </c>
      <c r="P21" s="136">
        <f t="shared" si="19"/>
        <v>589</v>
      </c>
      <c r="Q21" s="136">
        <f t="shared" si="19"/>
        <v>325</v>
      </c>
      <c r="R21" s="136">
        <f t="shared" si="19"/>
        <v>7085</v>
      </c>
      <c r="S21" s="136">
        <f t="shared" si="19"/>
        <v>7997</v>
      </c>
      <c r="T21" s="136">
        <f t="shared" si="19"/>
        <v>5838</v>
      </c>
      <c r="U21" s="136">
        <f t="shared" si="19"/>
        <v>5868</v>
      </c>
      <c r="V21" s="136">
        <f t="shared" si="19"/>
        <v>7969</v>
      </c>
      <c r="W21" s="136">
        <f t="shared" si="19"/>
        <v>796</v>
      </c>
      <c r="X21" s="136">
        <f t="shared" si="19"/>
        <v>3521</v>
      </c>
      <c r="Y21" s="136">
        <f t="shared" si="19"/>
        <v>144</v>
      </c>
      <c r="Z21" s="136">
        <f t="shared" si="19"/>
        <v>216</v>
      </c>
      <c r="AA21" s="136">
        <f t="shared" si="19"/>
        <v>222</v>
      </c>
      <c r="AB21" s="136">
        <f t="shared" si="19"/>
        <v>138</v>
      </c>
      <c r="AC21" s="136">
        <f t="shared" si="19"/>
        <v>0</v>
      </c>
      <c r="AD21" s="136">
        <f t="shared" si="19"/>
        <v>9</v>
      </c>
      <c r="AE21" s="136">
        <f t="shared" si="19"/>
        <v>9</v>
      </c>
      <c r="AF21" s="136">
        <f t="shared" si="19"/>
        <v>0</v>
      </c>
      <c r="AG21" s="136">
        <f t="shared" si="19"/>
        <v>169</v>
      </c>
      <c r="AH21" s="136">
        <f t="shared" si="19"/>
        <v>210</v>
      </c>
      <c r="AI21" s="136">
        <f t="shared" si="19"/>
        <v>196</v>
      </c>
      <c r="AJ21" s="136">
        <f t="shared" si="19"/>
        <v>170</v>
      </c>
      <c r="AK21" s="136">
        <f t="shared" si="19"/>
        <v>0</v>
      </c>
      <c r="AL21" s="136">
        <f t="shared" si="19"/>
        <v>8</v>
      </c>
      <c r="AM21" s="136">
        <f t="shared" si="19"/>
        <v>8</v>
      </c>
      <c r="AN21" s="215">
        <f t="shared" si="19"/>
        <v>0</v>
      </c>
      <c r="AO21" s="216">
        <v>11</v>
      </c>
      <c r="AP21" s="216">
        <v>10</v>
      </c>
      <c r="AQ21" s="216">
        <v>10</v>
      </c>
      <c r="AR21" s="216">
        <v>10</v>
      </c>
      <c r="AS21" s="158">
        <f t="shared" si="19"/>
        <v>0</v>
      </c>
      <c r="AT21" s="158">
        <f t="shared" si="19"/>
        <v>0</v>
      </c>
      <c r="AU21" s="216"/>
      <c r="AV21" s="217"/>
      <c r="AW21" s="216"/>
      <c r="AX21" s="217"/>
      <c r="AY21" s="135">
        <f>SUBTOTAL(9,AY9:AY20)</f>
        <v>8166</v>
      </c>
      <c r="AZ21" s="136">
        <f>SUBTOTAL(9,AZ9:AZ20)</f>
        <v>6048</v>
      </c>
      <c r="BA21" s="136">
        <f>SUBTOTAL(9,BA9:BA20)</f>
        <v>6064</v>
      </c>
      <c r="BB21" s="136">
        <f>SUBTOTAL(9,BB9:BB20)</f>
        <v>8139</v>
      </c>
      <c r="BC21" s="137">
        <f>SUBTOTAL(9,BC9:BC20)</f>
        <v>1286</v>
      </c>
      <c r="BD21" s="218">
        <f>IF(ISNUMBER(BA21/AZ21),BA21/AZ21," - ")</f>
        <v>1.0026455026455026</v>
      </c>
      <c r="BE21" s="215">
        <f>IF(ISNUMBER(BB21/BA21),BB21/BA21, " - ")</f>
        <v>1.3421833773087071</v>
      </c>
      <c r="BF21" s="215">
        <f>IF(ISNUMBER(BC21/BA21),BC21/BA21, " - ")</f>
        <v>0.2120712401055409</v>
      </c>
      <c r="BG21" s="137">
        <f>IF(ISNUMBER((AY21+AZ21)/BA21),(AY21+AZ21)/BA21," - ")</f>
        <v>2.3439973614775726</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brwH4H5JfUxgpayxDNwvNdNC3HxvIYxGJWCEvclqSp5Cbynr/Vu19Rb7B7VgECxhk4fcSzhjS2wwV3x1RluJQ==" saltValue="S8xexC6Nc8i/j/YWqKI3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tB6DipvD4Z3+zAEp3HVNEwf1eRG/GkwYAWTjiOqF0unC7f0aShzLJeP2zkCUeBeGlITdW/aRQU+MQKI0Kb+4A==" saltValue="mnNMpoSdTkHNrTg4SYhl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MALAGA  Resumenes por Partidos Judiciales  TORREMOLINOS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216</v>
      </c>
      <c r="O9" s="504"/>
      <c r="P9" s="504"/>
      <c r="Q9" s="502">
        <f>IF(ISNUMBER(Datos!P9),Datos!P9,0)</f>
        <v>509</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277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138</v>
      </c>
      <c r="AI9" s="504" t="str">
        <f>IF(ISNUMBER(Datos!CD9),Datos!CD9,"-")</f>
        <v>-</v>
      </c>
      <c r="AJ9" s="504" t="str">
        <f>IF(ISNUMBER(Datos!EN9),Datos!EN9," - ")</f>
        <v xml:space="preserve"> - </v>
      </c>
      <c r="AK9" s="504"/>
      <c r="AL9" s="505"/>
      <c r="AM9" s="672">
        <f>IF(ISNUMBER(Datos!R9),Datos!R9," - ")</f>
        <v>6790</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557</v>
      </c>
      <c r="BD9" s="620">
        <f>IF(ISNUMBER(Datos!N9),Datos!N9," - ")</f>
        <v>1154</v>
      </c>
      <c r="BE9" s="620" t="str">
        <f>IF(ISNUMBER(Datos!BW9),Datos!BW9," - ")</f>
        <v xml:space="preserve"> - </v>
      </c>
      <c r="BF9" s="668" t="str">
        <f>IF(ISNUMBER(Datos!BX9),Datos!BX9," - ")</f>
        <v xml:space="preserve"> - </v>
      </c>
      <c r="BG9" s="669">
        <f>IF(ISNUMBER(IF(J_V="SI",Datos!K9/Datos!J9,(Datos!K9+Datos!AA9)/(Datos!J9+Datos!Z9))),IF(J_V="SI",Datos!K9/Datos!J9,(Datos!K9+Datos!AA9)/(Datos!J9+Datos!Z9))," - ")</f>
        <v>0.91174270755422593</v>
      </c>
      <c r="BH9" s="670">
        <f>IF(ISNUMBER(((IF(J_V="SI",Datos!L9/Datos!K9,(Datos!L9+Datos!AB9)/(Datos!K9+Datos!AA9)))*11)/factor_trimestre),((IF(J_V="SI",Datos!L9/Datos!K9,(Datos!L9+Datos!AB9)/(Datos!K9+Datos!AA9)))*11)/factor_trimestre," - ")</f>
        <v>7.2834290401968831</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3.537663921927417E-2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132</v>
      </c>
      <c r="G10" s="498">
        <f>IF(ISNUMBER(Datos!I10),Datos!I10," - ")</f>
        <v>132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44</v>
      </c>
      <c r="AC10" s="502">
        <f>IF(ISNUMBER(Datos!Q10),Datos!Q10," - ")</f>
        <v>0</v>
      </c>
      <c r="AD10" s="504"/>
      <c r="AE10" s="517"/>
      <c r="AF10" s="506">
        <f>IF(ISNUMBER(Datos!L10),Datos!L10,"-")</f>
        <v>123</v>
      </c>
      <c r="AG10" s="504"/>
      <c r="AH10" s="504"/>
      <c r="AI10" s="504"/>
      <c r="AJ10" s="504"/>
      <c r="AK10" s="504"/>
      <c r="AL10" s="505"/>
      <c r="AM10" s="672">
        <f>IF(ISNUMBER(Datos!R10),Datos!R10," - ")</f>
        <v>73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23</v>
      </c>
      <c r="BD10" s="620">
        <f>IF(ISNUMBER(Datos!N10),Datos!N10," - ")</f>
        <v>13</v>
      </c>
      <c r="BE10" s="620" t="str">
        <f>IF(ISNUMBER(Datos!BW10),Datos!BW10," - ")</f>
        <v xml:space="preserve"> - </v>
      </c>
      <c r="BF10" s="668" t="str">
        <f>IF(ISNUMBER(Datos!BX10),Datos!BX10," - ")</f>
        <v xml:space="preserve"> - </v>
      </c>
      <c r="BG10" s="669">
        <f>IF(ISNUMBER(Datos!K10/Datos!J10),Datos!K10/Datos!J10," - ")</f>
        <v>1.2571428571428571</v>
      </c>
      <c r="BH10" s="670">
        <f>IF(ISNUMBER(((Datos!L10/Datos!K10)*11)/factor_trimestre),((Datos!L10/Datos!K10)*11)/factor_trimestre," - ")</f>
        <v>8.3863636363636367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0.12307692307692308</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132</v>
      </c>
      <c r="G14" s="1045">
        <f t="shared" si="1"/>
        <v>132</v>
      </c>
      <c r="H14" s="1046">
        <f t="shared" si="1"/>
        <v>0</v>
      </c>
      <c r="I14" s="1045">
        <f t="shared" si="1"/>
        <v>0</v>
      </c>
      <c r="J14" s="1014">
        <f t="shared" si="1"/>
        <v>0</v>
      </c>
      <c r="K14" s="1014">
        <f t="shared" si="1"/>
        <v>0</v>
      </c>
      <c r="L14" s="1046">
        <f t="shared" si="1"/>
        <v>0</v>
      </c>
      <c r="M14" s="1046">
        <f t="shared" si="1"/>
        <v>0</v>
      </c>
      <c r="N14" s="1046">
        <f t="shared" si="1"/>
        <v>216</v>
      </c>
      <c r="O14" s="1047">
        <f t="shared" si="1"/>
        <v>0</v>
      </c>
      <c r="P14" s="1047">
        <f t="shared" si="1"/>
        <v>0</v>
      </c>
      <c r="Q14" s="1046">
        <f t="shared" si="1"/>
        <v>517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44</v>
      </c>
      <c r="AC14" s="1046">
        <f t="shared" si="2"/>
        <v>277</v>
      </c>
      <c r="AD14" s="1046">
        <f t="shared" si="2"/>
        <v>0</v>
      </c>
      <c r="AE14" s="1046">
        <f t="shared" si="2"/>
        <v>0</v>
      </c>
      <c r="AF14" s="1046">
        <f t="shared" si="2"/>
        <v>123</v>
      </c>
      <c r="AG14" s="1046">
        <f t="shared" si="2"/>
        <v>0</v>
      </c>
      <c r="AH14" s="1046">
        <f t="shared" si="2"/>
        <v>138</v>
      </c>
      <c r="AI14" s="1046">
        <f t="shared" si="2"/>
        <v>0</v>
      </c>
      <c r="AJ14" s="1046">
        <f t="shared" si="2"/>
        <v>0</v>
      </c>
      <c r="AK14" s="1046">
        <f t="shared" si="2"/>
        <v>0</v>
      </c>
      <c r="AL14" s="1046">
        <f t="shared" si="2"/>
        <v>0</v>
      </c>
      <c r="AM14" s="1046">
        <f t="shared" si="2"/>
        <v>6863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580</v>
      </c>
      <c r="BD14" s="1046">
        <f t="shared" si="2"/>
        <v>1167</v>
      </c>
      <c r="BE14" s="1046">
        <f t="shared" si="2"/>
        <v>0</v>
      </c>
      <c r="BF14" s="1046">
        <f t="shared" si="2"/>
        <v>0</v>
      </c>
      <c r="BG14" s="1046">
        <f>IF(ISNUMBER(Datos!K14/Datos!J14),Datos!K14/Datos!J14," - ")</f>
        <v>0.90653830726032891</v>
      </c>
      <c r="BH14" s="1050">
        <f>IF(ISNUMBER(((Datos!L14/Datos!K14)*11)/factor_trimestre),((Datos!L14/Datos!K14)*11)/factor_trimestre," - ")</f>
        <v>7.8371681415929197</v>
      </c>
      <c r="BI14" s="1046">
        <f>IF(ISNUMBER('Resol  Asuntos'!D14/NºAsuntos!G14),'Resol  Asuntos'!D14/NºAsuntos!G14," - ")</f>
        <v>0.23368251410153101</v>
      </c>
      <c r="BJ14" s="1046" t="str">
        <f>IF(ISNUMBER(Datos!CI14/Datos!CJ14),Datos!CI14/Datos!CJ14," - ")</f>
        <v xml:space="preserve"> - </v>
      </c>
      <c r="BK14" s="1046">
        <f>SUBTOTAL(9,BK8:BK13)</f>
        <v>0</v>
      </c>
      <c r="BL14" s="1046">
        <f>IF(ISNUMBER((I14-AB14+L14)/(F14)),(I14-AB14+L14)/(F14)," - ")</f>
        <v>-0.33333333333333331</v>
      </c>
      <c r="BM14" s="1051">
        <f>SUBTOTAL(9,BM9:BM13)</f>
        <v>0.15845356229619725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1984</v>
      </c>
      <c r="G16" s="651">
        <f>IF(ISNUMBER(IF(D_I="SI",Datos!I16,Datos!I16+Datos!AC16)),IF(D_I="SI",Datos!I16,Datos!I16+Datos!AC16)," - ")</f>
        <v>1949</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71</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3955</v>
      </c>
      <c r="AC16" s="231">
        <f>IF(ISNUMBER(Datos!Q16),Datos!Q16," - ")</f>
        <v>48</v>
      </c>
      <c r="AD16" s="344"/>
      <c r="AE16" s="516"/>
      <c r="AF16" s="649">
        <f>IF(ISNUMBER(IF(D_I="SI",Datos!L16,Datos!L16+Datos!AF16)),IF(D_I="SI",Datos!L16,Datos!L16+Datos!AF16)," - ")</f>
        <v>1834</v>
      </c>
      <c r="AG16" s="344"/>
      <c r="AH16" s="344"/>
      <c r="AI16" s="344"/>
      <c r="AJ16" s="504"/>
      <c r="AK16" s="344"/>
      <c r="AL16" s="500"/>
      <c r="AM16" s="345">
        <f>IF(ISNUMBER(Datos!R16),Datos!R16," - ")</f>
        <v>217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276</v>
      </c>
      <c r="BD16" s="234">
        <f>IF(ISNUMBER(Datos!N16),Datos!N16," - ")</f>
        <v>2874</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1.0394218134034166</v>
      </c>
      <c r="BH16" s="670">
        <f>IF(ISNUMBER(((IF(D_I="SI",Datos!L16/Datos!K16,(Datos!L16+Datos!AF16)/(Datos!K16+Datos!AE16)))*11)/factor_trimestre),((IF(D_I="SI",Datos!L16/Datos!K16,(Datos!L16+Datos!AF16)/(Datos!K16+Datos!AE16)))*11)/factor_trimestre," - ")</f>
        <v>1.3911504424778762</v>
      </c>
      <c r="BI16" s="248">
        <f>IF(ISNUMBER('Resol  Asuntos'!D16/NºAsuntos!G16),'Resol  Asuntos'!D16/NºAsuntos!G16," - ")</f>
        <v>6.9785082174462706E-2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341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277</v>
      </c>
      <c r="AC18" s="502">
        <f>IF(ISNUMBER(Datos!Q18),Datos!Q18," - ")</f>
        <v>0</v>
      </c>
      <c r="AD18" s="504"/>
      <c r="AE18" s="516"/>
      <c r="AF18" s="506">
        <f>IF(ISNUMBER(Datos!L18),Datos!L18,"-")</f>
        <v>330</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32</v>
      </c>
      <c r="BD18" s="620">
        <f>IF(ISNUMBER(Datos!N18),Datos!N18," - ")</f>
        <v>128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1.0572519083969465</v>
      </c>
      <c r="BH18" s="670">
        <f>IF(ISNUMBER(((IF(D_I="SI",Datos!L18/Datos!K18,(Datos!L18+Datos!AF18)/(Datos!K18+Datos!AE18)))*11)/factor_trimestre),((IF(D_I="SI",Datos!L18/Datos!K18,(Datos!L18+Datos!AF18)/(Datos!K18+Datos!AE18)))*11)/factor_trimestre," - ")</f>
        <v>3.5740072202166071</v>
      </c>
      <c r="BI18" s="669">
        <f>IF(ISNUMBER('Resol  Asuntos'!D18/NºAsuntos!G18),'Resol  Asuntos'!D18/NºAsuntos!G18," - ")</f>
        <v>0.11552346570397112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1984</v>
      </c>
      <c r="G20" s="1045">
        <f>SUBTOTAL(9,G16:G19)</f>
        <v>2290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4232</v>
      </c>
      <c r="AC20" s="1046">
        <f t="shared" si="5"/>
        <v>48</v>
      </c>
      <c r="AD20" s="1046">
        <f t="shared" si="5"/>
        <v>0</v>
      </c>
      <c r="AE20" s="1046">
        <f t="shared" si="5"/>
        <v>0</v>
      </c>
      <c r="AF20" s="1046">
        <f t="shared" si="5"/>
        <v>2164</v>
      </c>
      <c r="AG20" s="1046">
        <f t="shared" si="5"/>
        <v>0</v>
      </c>
      <c r="AH20" s="1046">
        <f t="shared" si="5"/>
        <v>0</v>
      </c>
      <c r="AI20" s="1046">
        <f t="shared" si="5"/>
        <v>0</v>
      </c>
      <c r="AJ20" s="1046">
        <f t="shared" si="5"/>
        <v>0</v>
      </c>
      <c r="AK20" s="1046">
        <f t="shared" si="5"/>
        <v>0</v>
      </c>
      <c r="AL20" s="1046">
        <f t="shared" si="5"/>
        <v>0</v>
      </c>
      <c r="AM20" s="1046">
        <f t="shared" si="5"/>
        <v>222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308</v>
      </c>
      <c r="BD20" s="1046">
        <f t="shared" si="5"/>
        <v>3002</v>
      </c>
      <c r="BE20" s="1046">
        <f t="shared" si="5"/>
        <v>0</v>
      </c>
      <c r="BF20" s="1046">
        <f t="shared" si="5"/>
        <v>0</v>
      </c>
      <c r="BG20" s="1046">
        <f>IF(ISNUMBER(Datos!K20/Datos!J20),Datos!K20/Datos!J20," - ")</f>
        <v>1.040570445045488</v>
      </c>
      <c r="BH20" s="1050">
        <f>IF(ISNUMBER(((Datos!L20/Datos!K20)*11)/factor_trimestre),((Datos!L20/Datos!K20)*11)/factor_trimestre," - ")</f>
        <v>1.5340264650283555</v>
      </c>
      <c r="BI20" s="1046">
        <f>SUBTOTAL(9,BI16:BI19)</f>
        <v>0.18530854787843382</v>
      </c>
      <c r="BJ20" s="1046">
        <f>SUBTOTAL(9,BJ16:BJ19)</f>
        <v>0</v>
      </c>
      <c r="BK20" s="1046">
        <f>SUBTOTAL(9,BK16:BK19)</f>
        <v>0</v>
      </c>
      <c r="BL20" s="1046">
        <f>IF(ISNUMBER((I20-AB20+L20)/(F20)),(I20-AB20+L20)/(F20)," - ")</f>
        <v>-2.1330645161290325</v>
      </c>
      <c r="BM20" s="1052">
        <f>IF(ISNUMBER((Datos!P20-Datos!Q20)/(Datos!R20-Datos!P20+Datos!Q20)),(Datos!P20-Datos!Q20)/(Datos!R20-Datos!P20+Datos!Q20)," - ")</f>
        <v>0.12121212121212122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2116</v>
      </c>
      <c r="G21" s="967">
        <f t="shared" si="7"/>
        <v>2422</v>
      </c>
      <c r="H21" s="969">
        <f t="shared" si="7"/>
        <v>0</v>
      </c>
      <c r="I21" s="967">
        <f t="shared" si="7"/>
        <v>0</v>
      </c>
      <c r="J21" s="969">
        <f t="shared" si="7"/>
        <v>0</v>
      </c>
      <c r="K21" s="969">
        <f t="shared" si="7"/>
        <v>0</v>
      </c>
      <c r="L21" s="1028">
        <f t="shared" si="7"/>
        <v>0</v>
      </c>
      <c r="M21" s="1028">
        <f t="shared" si="7"/>
        <v>0</v>
      </c>
      <c r="N21" s="1028">
        <f t="shared" si="7"/>
        <v>216</v>
      </c>
      <c r="O21" s="1028">
        <f t="shared" si="7"/>
        <v>0</v>
      </c>
      <c r="P21" s="1028">
        <f t="shared" si="7"/>
        <v>0</v>
      </c>
      <c r="Q21" s="969">
        <f t="shared" si="7"/>
        <v>589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4276</v>
      </c>
      <c r="AC21" s="968">
        <f t="shared" si="8"/>
        <v>325</v>
      </c>
      <c r="AD21" s="968">
        <f t="shared" si="8"/>
        <v>0</v>
      </c>
      <c r="AE21" s="968">
        <f t="shared" si="8"/>
        <v>0</v>
      </c>
      <c r="AF21" s="975">
        <f t="shared" si="8"/>
        <v>2287</v>
      </c>
      <c r="AG21" s="975">
        <f t="shared" si="8"/>
        <v>0</v>
      </c>
      <c r="AH21" s="975">
        <f t="shared" si="8"/>
        <v>138</v>
      </c>
      <c r="AI21" s="975">
        <f t="shared" si="8"/>
        <v>0</v>
      </c>
      <c r="AJ21" s="968">
        <f t="shared" si="8"/>
        <v>0</v>
      </c>
      <c r="AK21" s="975">
        <f t="shared" si="8"/>
        <v>0</v>
      </c>
      <c r="AL21" s="975">
        <f t="shared" si="8"/>
        <v>0</v>
      </c>
      <c r="AM21" s="975">
        <f t="shared" si="8"/>
        <v>7085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888</v>
      </c>
      <c r="BD21" s="967">
        <f t="shared" si="8"/>
        <v>4169</v>
      </c>
      <c r="BE21" s="967">
        <f t="shared" si="8"/>
        <v>0</v>
      </c>
      <c r="BF21" s="977">
        <f t="shared" si="8"/>
        <v>0</v>
      </c>
      <c r="BG21" s="1062">
        <f>IF(ISNUMBER(Datos!K21/Datos!J21),Datos!K21/Datos!J21," - ")</f>
        <v>0.98963414634146341</v>
      </c>
      <c r="BH21" s="1062">
        <f>IF(ISNUMBER(((Datos!L21/Datos!K21)*11)/factor_trimestre),((Datos!L21/Datos!K21)*11)/factor_trimestre," - ")</f>
        <v>3.7282809611829943</v>
      </c>
      <c r="BI21" s="960">
        <f>IF(ISNUMBER(Datos!J21/Datos!I21),Datos!J21/Datos!I21," - ")</f>
        <v>0.82174621069773268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-2.0207939508506616</v>
      </c>
      <c r="BM21" s="1036">
        <f>IF(ISNUMBER((Datos!P21-Datos!Q21+R21)/(Datos!R21-Datos!P21+Datos!Q21-R21)),(Datos!P21-Datos!Q21+R21)/(Datos!R21-Datos!P21+Datos!Q21-R21)," - ")</f>
        <v>3.8704002345697111E-2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968.8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1069.2526985391869</v>
      </c>
      <c r="G23" s="601">
        <f>IF(ISNUMBER(STDEV(G8:G20)),STDEV(G8:G20),"-")</f>
        <v>1060.7736327793975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2179.742484790348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242.29981427974724</v>
      </c>
      <c r="BD23" s="600"/>
      <c r="BE23" s="600">
        <f>IF(ISNUMBER(STDEV(BE8:BE20)),STDEV(BE8:BE20),"-")</f>
        <v>0</v>
      </c>
      <c r="BF23" s="605">
        <f>IF(ISNUMBER(STDEV(BF8:BF20)),STDEV(BF8:BF20),"-")</f>
        <v>0</v>
      </c>
      <c r="BG23" s="915">
        <f>IF(ISNUMBER(STDEV(BG8:BG20)),STDEV(BG8:BG20),"-")</f>
        <v>0.12773939011605354</v>
      </c>
      <c r="BH23" s="919">
        <f>IF(ISNUMBER(STDEV(BH8:BH20)),STDEV(BH8:BH20),"-")</f>
        <v>3.2187341210955216</v>
      </c>
      <c r="BI23" s="254">
        <f>IF(ISNUMBER(STDEV(BI8:BI20)),STDEV(BI8:BI20),"-")</f>
        <v>7.2727572756660294E-2</v>
      </c>
      <c r="BJ23" s="235" t="str">
        <f>IF(ISNUMBER(BL23/BM23),BL23/BM23," - ")</f>
        <v xml:space="preserve"> - </v>
      </c>
      <c r="BK23" s="627"/>
      <c r="BL23" s="608">
        <f>IF(ISNUMBER(STDEV(BL8:BL20)),STDEV(BL8:BL20),"-")</f>
        <v>1.2726021236677247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uVyQkh8vM9WZFah4M0cUtO0CnP5UWJ693imkJmmyCxsC0EkvkvWCGPMgO81HwBztVaPga3rau5qA8h6fvAOQQ==" saltValue="Cmdc6ecIBkIgl5hRKojm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MALAGA  Resumenes por Partidos Judiciales  TORREMOLINOS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509</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277</v>
      </c>
      <c r="AA9" s="506" t="str">
        <f>IF(ISNUMBER(IF(J_V="SI",Datos!L9,Datos!L9+Datos!AB9)-IF(Monitorios="SI",Datos!CD9,0)),
                          IF(J_V="SI",Datos!L9,Datos!L9+Datos!AB9)-IF(Monitorios="SI",Datos!CD9,0),
                          " - ")</f>
        <v xml:space="preserve"> - </v>
      </c>
      <c r="AB9" s="504"/>
      <c r="AC9" s="504"/>
      <c r="AD9" s="517"/>
      <c r="AE9" s="517">
        <f>IF(ISNUMBER(Datos!R9),Datos!R9," - ")</f>
        <v>6790</v>
      </c>
      <c r="AF9" s="620" t="str">
        <f>IF(ISNUMBER(Datos!BV9),Datos!BV9," - ")</f>
        <v xml:space="preserve"> - </v>
      </c>
      <c r="AG9" s="507" t="str">
        <f>IF(ISNUMBER(Datos!DV9),Datos!DV9," - ")</f>
        <v xml:space="preserve"> - </v>
      </c>
      <c r="AH9" s="508"/>
      <c r="AI9" s="509"/>
      <c r="AJ9" s="507">
        <f>IF(ISNUMBER(Datos!M9),Datos!M9," - ")</f>
        <v>557</v>
      </c>
      <c r="AK9" s="620">
        <f>IF(ISNUMBER(Datos!N9),Datos!N9," - ")</f>
        <v>1154</v>
      </c>
      <c r="AL9" s="620" t="str">
        <f>IF(ISNUMBER(Datos!BW9),Datos!BW9," - ")</f>
        <v xml:space="preserve"> - </v>
      </c>
      <c r="AM9" s="668" t="str">
        <f>IF(ISNUMBER(Datos!BX9),Datos!BX9," - ")</f>
        <v xml:space="preserve"> - </v>
      </c>
      <c r="AN9" s="669"/>
      <c r="AO9" s="670">
        <f>IF(ISNUMBER(((NºAsuntos!I9/NºAsuntos!G9)*11)/factor_trimestre),((NºAsuntos!I9/NºAsuntos!G9)*11)/factor_trimestre," - ")</f>
        <v>7.2834290401968831</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3.537663921927417E-2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132</v>
      </c>
      <c r="G10" s="507">
        <f>IF(ISNUMBER(Datos!I10),Datos!I10," - ")</f>
        <v>132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44</v>
      </c>
      <c r="Z10" s="704">
        <f>IF(ISNUMBER(Datos!Q10),Datos!Q10," - ")</f>
        <v>0</v>
      </c>
      <c r="AA10" s="506">
        <f>IF(ISNUMBER(Datos!L10),Datos!L10,"-")</f>
        <v>123</v>
      </c>
      <c r="AB10" s="504"/>
      <c r="AC10" s="504"/>
      <c r="AD10" s="517"/>
      <c r="AE10" s="517">
        <f>IF(ISNUMBER(Datos!R10),Datos!R10," - ")</f>
        <v>73</v>
      </c>
      <c r="AF10" s="620" t="str">
        <f>IF(ISNUMBER(Datos!BV10),Datos!BV10," - ")</f>
        <v xml:space="preserve"> - </v>
      </c>
      <c r="AG10" s="507" t="str">
        <f>IF(ISNUMBER(Datos!DV10),Datos!DV10," - ")</f>
        <v xml:space="preserve"> - </v>
      </c>
      <c r="AH10" s="508"/>
      <c r="AI10" s="509"/>
      <c r="AJ10" s="507">
        <f>IF(ISNUMBER(Datos!M10),Datos!M10," - ")</f>
        <v>23</v>
      </c>
      <c r="AK10" s="620">
        <f>IF(ISNUMBER(Datos!N10),Datos!N10," - ")</f>
        <v>13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8.3863636363636367</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0.12307692307692308</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132</v>
      </c>
      <c r="G14" s="1045">
        <f>SUBTOTAL(9,G8:G13)</f>
        <v>132</v>
      </c>
      <c r="H14" s="1055"/>
      <c r="I14" s="1045">
        <f t="shared" ref="I14:N14" si="1">SUBTOTAL(9,I8:I13)</f>
        <v>0</v>
      </c>
      <c r="J14" s="1014">
        <f t="shared" si="1"/>
        <v>0</v>
      </c>
      <c r="K14" s="1055">
        <f t="shared" si="1"/>
        <v>0</v>
      </c>
      <c r="L14" s="1055">
        <f t="shared" si="1"/>
        <v>0</v>
      </c>
      <c r="M14" s="1055">
        <f t="shared" si="1"/>
        <v>0</v>
      </c>
      <c r="N14" s="1055">
        <f t="shared" si="1"/>
        <v>517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44</v>
      </c>
      <c r="Z14" s="1054">
        <f t="shared" si="3"/>
        <v>277</v>
      </c>
      <c r="AA14" s="1047">
        <f t="shared" si="3"/>
        <v>123</v>
      </c>
      <c r="AB14" s="1047">
        <f t="shared" si="3"/>
        <v>0</v>
      </c>
      <c r="AC14" s="1047">
        <f t="shared" si="3"/>
        <v>0</v>
      </c>
      <c r="AD14" s="1047">
        <f t="shared" si="3"/>
        <v>0</v>
      </c>
      <c r="AE14" s="1047">
        <f t="shared" si="3"/>
        <v>6863</v>
      </c>
      <c r="AF14" s="1055">
        <f t="shared" si="3"/>
        <v>0</v>
      </c>
      <c r="AG14" s="1055">
        <f t="shared" si="3"/>
        <v>0</v>
      </c>
      <c r="AH14" s="1055">
        <f t="shared" si="3"/>
        <v>0</v>
      </c>
      <c r="AI14" s="1055">
        <f t="shared" si="3"/>
        <v>0</v>
      </c>
      <c r="AJ14" s="1055">
        <f t="shared" si="3"/>
        <v>580</v>
      </c>
      <c r="AK14" s="1055">
        <f t="shared" si="3"/>
        <v>1167</v>
      </c>
      <c r="AL14" s="1055">
        <f t="shared" si="3"/>
        <v>0</v>
      </c>
      <c r="AM14" s="1055">
        <f t="shared" si="3"/>
        <v>0</v>
      </c>
      <c r="AN14" s="1055">
        <f t="shared" si="3"/>
        <v>0</v>
      </c>
      <c r="AO14" s="1051">
        <f>IF(ISNUMBER(((NºAsuntos!I14/NºAsuntos!G14)*11)/factor_trimestre),((NºAsuntos!I14/NºAsuntos!G14)*11)/factor_trimestre," - ")</f>
        <v>7.3029814665592268</v>
      </c>
      <c r="AP14" s="1057" t="str">
        <f>IF(ISNUMBER(Datos!CI14/Datos!CJ14),Datos!CI14/Datos!CJ14," - ")</f>
        <v xml:space="preserve"> - </v>
      </c>
      <c r="AQ14" s="1075">
        <f t="shared" ref="AQ14:AV14" si="4">SUBTOTAL(9,AQ9:AQ13)</f>
        <v>0</v>
      </c>
      <c r="AR14" s="1075">
        <f t="shared" si="4"/>
        <v>0.15845356229619725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1984</v>
      </c>
      <c r="G16" s="507">
        <f>IF(ISNUMBER(IF(D_I="SI",Datos!I16,Datos!I16+Datos!AC16)),IF(D_I="SI",Datos!I16,Datos!I16+Datos!AC16)," - ")</f>
        <v>1949</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71</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3955</v>
      </c>
      <c r="Z16" s="704">
        <f>IF(ISNUMBER(Datos!Q16),Datos!Q16," - ")</f>
        <v>48</v>
      </c>
      <c r="AA16" s="506">
        <f>IF(ISNUMBER(IF(D_I="SI",Datos!L16,Datos!L16+Datos!AF16)),IF(D_I="SI",Datos!L16,Datos!L16+Datos!AF16)," - ")</f>
        <v>1834</v>
      </c>
      <c r="AB16" s="504"/>
      <c r="AC16" s="504"/>
      <c r="AD16" s="517"/>
      <c r="AE16" s="517">
        <f>IF(ISNUMBER(Datos!R16),Datos!R16," - ")</f>
        <v>217</v>
      </c>
      <c r="AF16" s="620" t="str">
        <f>IF(ISNUMBER(Datos!BV16),Datos!BV16," - ")</f>
        <v xml:space="preserve"> - </v>
      </c>
      <c r="AG16" s="507"/>
      <c r="AH16" s="508"/>
      <c r="AI16" s="509"/>
      <c r="AJ16" s="507">
        <f>IF(ISNUMBER(Datos!M16),Datos!M16," - ")</f>
        <v>276</v>
      </c>
      <c r="AK16" s="620">
        <f>IF(ISNUMBER(Datos!N16),Datos!N16," - ")</f>
        <v>2874</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1.3911504424778762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341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277</v>
      </c>
      <c r="Z18" s="704">
        <f>IF(ISNUMBER(Datos!Q18),Datos!Q18," - ")</f>
        <v>0</v>
      </c>
      <c r="AA18" s="506">
        <f>IF(ISNUMBER(Datos!L18),Datos!L18,"-")</f>
        <v>330</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32</v>
      </c>
      <c r="AK18" s="620">
        <f>IF(ISNUMBER(Datos!N18),Datos!N18," - ")</f>
        <v>128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3.5740072202166071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1984</v>
      </c>
      <c r="G20" s="1045">
        <f>SUBTOTAL(9,G16:G19)</f>
        <v>2290</v>
      </c>
      <c r="H20" s="1079">
        <f>SUBTOTAL(9,H16:H19)</f>
        <v>0</v>
      </c>
      <c r="I20" s="1058">
        <f>SUBTOTAL(9,I16:I19)</f>
        <v>0</v>
      </c>
      <c r="J20" s="1014">
        <f>SUBTOTAL(9,J15:J19)</f>
        <v>0</v>
      </c>
      <c r="K20" s="1079">
        <f t="shared" ref="K20:S20" si="5">SUBTOTAL(9,K16:K19)</f>
        <v>0</v>
      </c>
      <c r="L20" s="1079">
        <f t="shared" si="5"/>
        <v>0</v>
      </c>
      <c r="M20" s="1079">
        <f t="shared" si="5"/>
        <v>0</v>
      </c>
      <c r="N20" s="1079">
        <f t="shared" si="5"/>
        <v>72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4232</v>
      </c>
      <c r="Z20" s="1079">
        <f t="shared" si="6"/>
        <v>48</v>
      </c>
      <c r="AA20" s="1079">
        <f t="shared" si="6"/>
        <v>2164</v>
      </c>
      <c r="AB20" s="1079">
        <f t="shared" si="6"/>
        <v>0</v>
      </c>
      <c r="AC20" s="1079">
        <f t="shared" si="6"/>
        <v>0</v>
      </c>
      <c r="AD20" s="1079">
        <f t="shared" si="6"/>
        <v>0</v>
      </c>
      <c r="AE20" s="1079">
        <f t="shared" si="6"/>
        <v>222</v>
      </c>
      <c r="AF20" s="1079">
        <f t="shared" si="6"/>
        <v>0</v>
      </c>
      <c r="AG20" s="1079">
        <f t="shared" si="6"/>
        <v>0</v>
      </c>
      <c r="AH20" s="1079">
        <f t="shared" si="6"/>
        <v>0</v>
      </c>
      <c r="AI20" s="1079">
        <f t="shared" si="6"/>
        <v>0</v>
      </c>
      <c r="AJ20" s="1079">
        <f t="shared" si="6"/>
        <v>308</v>
      </c>
      <c r="AK20" s="1079">
        <f t="shared" si="6"/>
        <v>3002</v>
      </c>
      <c r="AL20" s="1079">
        <f t="shared" si="6"/>
        <v>0</v>
      </c>
      <c r="AM20" s="1079">
        <f t="shared" si="6"/>
        <v>0</v>
      </c>
      <c r="AN20" s="1079">
        <f t="shared" si="6"/>
        <v>0</v>
      </c>
      <c r="AO20" s="1081">
        <f>IF(ISNUMBER(((NºAsuntos!I20/NºAsuntos!G20)*11)/factor_trimestre),((NºAsuntos!I20/NºAsuntos!G20)*11)/factor_trimestre," - ")</f>
        <v>1.5340264650283555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2116</v>
      </c>
      <c r="G21" s="967">
        <f t="shared" si="8"/>
        <v>2422</v>
      </c>
      <c r="H21" s="968">
        <f t="shared" si="8"/>
        <v>0</v>
      </c>
      <c r="I21" s="967">
        <f t="shared" si="8"/>
        <v>0</v>
      </c>
      <c r="J21" s="969">
        <f t="shared" si="8"/>
        <v>0</v>
      </c>
      <c r="K21" s="967">
        <f t="shared" si="8"/>
        <v>0</v>
      </c>
      <c r="L21" s="970">
        <f t="shared" si="8"/>
        <v>0</v>
      </c>
      <c r="M21" s="967">
        <f t="shared" si="8"/>
        <v>0</v>
      </c>
      <c r="N21" s="968">
        <f t="shared" si="8"/>
        <v>589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4276</v>
      </c>
      <c r="Z21" s="974">
        <f t="shared" si="9"/>
        <v>325</v>
      </c>
      <c r="AA21" s="975">
        <f t="shared" si="9"/>
        <v>2287</v>
      </c>
      <c r="AB21" s="975">
        <f t="shared" si="9"/>
        <v>0</v>
      </c>
      <c r="AC21" s="975">
        <f t="shared" si="9"/>
        <v>0</v>
      </c>
      <c r="AD21" s="976">
        <f t="shared" si="9"/>
        <v>0</v>
      </c>
      <c r="AE21" s="976">
        <f t="shared" si="9"/>
        <v>7085</v>
      </c>
      <c r="AF21" s="977">
        <f t="shared" si="9"/>
        <v>0</v>
      </c>
      <c r="AG21" s="978">
        <f t="shared" si="9"/>
        <v>0</v>
      </c>
      <c r="AH21" s="979">
        <f t="shared" si="9"/>
        <v>0</v>
      </c>
      <c r="AI21" s="977">
        <f t="shared" si="9"/>
        <v>0</v>
      </c>
      <c r="AJ21" s="967">
        <f t="shared" si="9"/>
        <v>888</v>
      </c>
      <c r="AK21" s="967">
        <f t="shared" si="9"/>
        <v>4169</v>
      </c>
      <c r="AL21" s="967">
        <f t="shared" si="9"/>
        <v>0</v>
      </c>
      <c r="AM21" s="980">
        <f t="shared" si="9"/>
        <v>0</v>
      </c>
      <c r="AN21" s="970">
        <f>IF(ISNUMBER(Datos!K21/Datos!J21),Datos!K21/Datos!J21," - ")</f>
        <v>0.98963414634146341</v>
      </c>
      <c r="AO21" s="970">
        <f>IF(ISNUMBER(FIND("06",Criterios!A8,1)),(IF(ISNUMBER(((Datos!R21/Datos!Q21)*11)/factor_trimestre),((Datos!R21/Datos!Q21)*11)/factor_trimestre," - ")),(IF(ISNUMBER(((Datos!L21/Datos!K21)*11)/factor_trimestre),((Datos!L21/Datos!K21)*11)/factor_trimestre," - ")))</f>
        <v>3.7282809611829943</v>
      </c>
      <c r="AP21" s="981" t="str">
        <f>IF(ISNUMBER(Datos!CI21/Datos!CJ21),Datos!CI21/Datos!CJ21," - ")</f>
        <v xml:space="preserve"> - </v>
      </c>
      <c r="AQ21" s="981">
        <f>IF(OR(ISNUMBER(FIND("01",Criterios!A8,1)),ISNUMBER(FIND("02",Criterios!A8,1)),ISNUMBER(FIND("03",Criterios!A8,1)),ISNUMBER(FIND("04",Criterios!A8,1))),(J21-Y21+K21)/(F21-K21),(I21-Y21+K21)/(F21-K21))</f>
        <v>-2.0207939508506616</v>
      </c>
      <c r="AR21" s="981">
        <f>IF(ISNUMBER((Datos!P21-Datos!Q21+O21)/(Datos!R21-Datos!P21+Datos!Q21-O21)),(Datos!P21-Datos!Q21+O21)/(Datos!R21-Datos!P21+Datos!Q21-O21)," - ")</f>
        <v>3.8704002345697111E-2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968.8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1069.2526985391869</v>
      </c>
      <c r="G23" s="601">
        <f>IF(ISNUMBER(STDEV(G8:G20)),STDEV(G8:G20),"-")</f>
        <v>1060.7736327793975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242.29981427974724</v>
      </c>
      <c r="AK23" s="257"/>
      <c r="AL23" s="257">
        <f>IF(ISNUMBER(STDEV(AL8:AL20)),STDEV(AL8:AL20),"-")</f>
        <v>0</v>
      </c>
      <c r="AM23" s="259">
        <f>IF(ISNUMBER(STDEV(AM8:AM20)),STDEV(AM8:AM20),"-")</f>
        <v>0</v>
      </c>
      <c r="AN23" s="587">
        <f>IF(ISNUMBER(STDEV(AN8:AN20)),STDEV(AN8:AN20),"-")</f>
        <v>0</v>
      </c>
      <c r="AO23" s="588">
        <f>IF(ISNUMBER(STDEV(AO8:AO20)),STDEV(AO8:AO20),"-")</f>
        <v>3.1307820822260881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HfQFkJjE7y33dw7llVv2qdr5KX5XlBmwcVsgn3gSX4+EGfoUPlvuQATVV09Z2kx7f8xDtnJ6B6t3gvQNc6vqQ==" saltValue="OBmgukIsB8+9YvwEtHlf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vCS2zifLRbdiCxGl5Jw7ibzXja5075jevdguYD/dxAjlcZIKznFFANJyBDFpM19kpq6T77kNh2d+qBiUT6s4w==" saltValue="HhkAF9oaDzMSl+6t3Q8m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rOq4oo89vB97ptqdOllYzWiJ1SH7bnUo+k993C0CI4Mjt41nX+kDw72PvDaFtIZ2+qcUG7mK23Qz5TyQ2NwAg==" saltValue="z1T4EQXpxMbVMSEV6CP3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MALAGA  Resumenes por Partidos Judiciales  TORREMOLINOS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0.23368251410153101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0.16523849036591359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MQLv9x87oiNlkkmVScjBwl06JloAVgSvJYbxiWSSqoLVDFs4NCBe7DMNvIJ3vep9YCybyO+2zLP9irSA+Tmg==" saltValue="PMyXsneS1lGfgqV0Y9d7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4DSMlsAXUHmBQ+1b31QeMQmU3vORtnWZu7WbgWOhxX6n5cWhM/vaYoTyHmenlTdFsYguRFRo1PSz6LRwMB/zww==" saltValue="x5xSPLe7zlvAAFuhQCKY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MALAGA</v>
      </c>
      <c r="D3" s="400"/>
      <c r="E3" s="400"/>
      <c r="F3" s="400"/>
    </row>
    <row r="4" spans="1:14" ht="13.5" thickBot="1">
      <c r="A4" s="400"/>
      <c r="B4" s="403" t="str">
        <f>Criterios!A11 &amp;"  "&amp;Criterios!B11</f>
        <v>Resumenes por Partidos Judiciales  TORREMOLINOS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5705</v>
      </c>
      <c r="D9" s="416">
        <f>IF(ISNUMBER(C9/Datos!BH9),C9/Datos!BH9," - ")</f>
        <v>1141</v>
      </c>
      <c r="E9" s="415">
        <f>IF(ISNUMBER(IF(J_V="SI",Datos!J9,Datos!J9+Datos!Z9)),IF(J_V="SI",Datos!J9,Datos!J9+Datos!Z9)," - ")</f>
        <v>2674</v>
      </c>
      <c r="F9" s="416">
        <f>IF(ISNUMBER(E9/B9),E9/B9," - ")</f>
        <v>534.79999999999995</v>
      </c>
      <c r="G9" s="415">
        <f>IF(ISNUMBER(IF(J_V="SI",Datos!K9,Datos!K9+Datos!AA9)),IF(J_V="SI",Datos!K9,Datos!K9+Datos!AA9)," - ")</f>
        <v>2438</v>
      </c>
      <c r="H9" s="416">
        <f>IF(ISNUMBER(G9/B9),G9/B9," - ")</f>
        <v>487.6</v>
      </c>
      <c r="I9" s="415">
        <f>IF(ISNUMBER(IF(J_V="SI",Datos!L9,Datos!L9+Datos!AB9)),IF(J_V="SI",Datos!L9,Datos!L9+Datos!AB9)," - ")</f>
        <v>5919</v>
      </c>
      <c r="J9" s="416">
        <f>IF(ISNUMBER(I9/B9),I9/B9," - ")</f>
        <v>1183.8</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132</v>
      </c>
      <c r="D10" s="416">
        <f>IF(ISNUMBER(C10/Datos!BH10),C10/Datos!BH10," - ")</f>
        <v>132</v>
      </c>
      <c r="E10" s="415">
        <f>IF(ISNUMBER(Datos!J10),Datos!J10," - ")</f>
        <v>35</v>
      </c>
      <c r="F10" s="416">
        <f>IF(ISNUMBER(E10/B10),E10/B10," - ")</f>
        <v>35</v>
      </c>
      <c r="G10" s="415">
        <f>IF(ISNUMBER(Datos!K10),Datos!K10," - ")</f>
        <v>44</v>
      </c>
      <c r="H10" s="416">
        <f>IF(ISNUMBER(G10/B10),G10/B10," - ")</f>
        <v>44</v>
      </c>
      <c r="I10" s="415">
        <f>IF(ISNUMBER(Datos!L10),Datos!L10," - ")</f>
        <v>123</v>
      </c>
      <c r="J10" s="416">
        <f>IF(ISNUMBER(I10/B10),I10/B10," - ")</f>
        <v>123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5837</v>
      </c>
      <c r="D14" s="997" t="str">
        <f>IF(ISNUMBER(C14/Datos!BI14),C14/Datos!BI14," - ")</f>
        <v xml:space="preserve"> - </v>
      </c>
      <c r="E14" s="996">
        <f>SUBTOTAL(9,E8:E13)</f>
        <v>2709</v>
      </c>
      <c r="F14" s="997">
        <f>IF(ISNUMBER(E14/B14),E14/B14," - ")</f>
        <v>541.79999999999995</v>
      </c>
      <c r="G14" s="996">
        <f>SUBTOTAL(9,G8:G13)</f>
        <v>2482</v>
      </c>
      <c r="H14" s="997">
        <f>IF(ISNUMBER(G14/B14),G14/B14," - ")</f>
        <v>496.4</v>
      </c>
      <c r="I14" s="996">
        <f>SUBTOTAL(9,I8:I13)</f>
        <v>6042</v>
      </c>
      <c r="J14" s="997">
        <f>IF(ISNUMBER(I14/B14),I14/B14," - ")</f>
        <v>1208.4000000000001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1949</v>
      </c>
      <c r="D16" s="416">
        <f>IF(ISNUMBER(C16/Datos!BH16),C16/Datos!BH16," - ")</f>
        <v>389.8</v>
      </c>
      <c r="E16" s="415">
        <f>IF(ISNUMBER(IF(D_I="SI",Datos!J16,Datos!J16+Datos!AD16)),IF(D_I="SI",Datos!J16,Datos!J16+Datos!AD16)," - ")</f>
        <v>3805</v>
      </c>
      <c r="F16" s="416">
        <f>IF(ISNUMBER(E16/B16),E16/B16," - ")</f>
        <v>761</v>
      </c>
      <c r="G16" s="415">
        <f>IF(ISNUMBER(IF(D_I="SI",Datos!K16,Datos!K16+Datos!AE16)),IF(D_I="SI",Datos!K16,Datos!K16+Datos!AE16)," - ")</f>
        <v>3955</v>
      </c>
      <c r="H16" s="416">
        <f>IF(ISNUMBER(G16/B16),G16/B16," - ")</f>
        <v>791</v>
      </c>
      <c r="I16" s="415">
        <f>IF(ISNUMBER(IF(D_I="SI",Datos!L16,Datos!L16+Datos!AF16)),IF(D_I="SI",Datos!L16,Datos!L16+Datos!AF16)," - ")</f>
        <v>1834</v>
      </c>
      <c r="J16" s="416">
        <f>IF(ISNUMBER(I16/B16),I16/B16," - ")</f>
        <v>366.8</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341</v>
      </c>
      <c r="D18" s="416">
        <f>IF(ISNUMBER(C18/Datos!BH18),C18/Datos!BH18," - ")</f>
        <v>341</v>
      </c>
      <c r="E18" s="415">
        <f>IF(ISNUMBER(IF(D_I="SI",Datos!J18,Datos!J18+Datos!AD18)),IF(D_I="SI",Datos!J18,Datos!J18+Datos!AD18)," - ")</f>
        <v>262</v>
      </c>
      <c r="F18" s="416">
        <f>IF(ISNUMBER(E18/B18),E18/B18," - ")</f>
        <v>262</v>
      </c>
      <c r="G18" s="415">
        <f>IF(ISNUMBER(IF(D_I="SI",Datos!K18,Datos!K18+Datos!AE18)),IF(D_I="SI",Datos!K18,Datos!K18+Datos!AE18)," - ")</f>
        <v>277</v>
      </c>
      <c r="H18" s="416">
        <f>IF(ISNUMBER(G18/B18),G18/B18," - ")</f>
        <v>277</v>
      </c>
      <c r="I18" s="415">
        <f>IF(ISNUMBER(IF(D_I="SI",Datos!L18,Datos!L18+Datos!AF18)),IF(D_I="SI",Datos!L18,Datos!L18+Datos!AF18)," - ")</f>
        <v>330</v>
      </c>
      <c r="J18" s="416">
        <f>IF(ISNUMBER(I18/B18),I18/B18," - ")</f>
        <v>330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2290</v>
      </c>
      <c r="D20" s="997" t="str">
        <f>IF(ISNUMBER(C20/Datos!BI20),C20/Datos!BI20," - ")</f>
        <v xml:space="preserve"> - </v>
      </c>
      <c r="E20" s="996">
        <f>SUBTOTAL(9,E15:E19)</f>
        <v>4067</v>
      </c>
      <c r="F20" s="997">
        <f>IF(ISNUMBER(E20/B20),E20/B20," - ")</f>
        <v>813.4</v>
      </c>
      <c r="G20" s="996">
        <f>SUBTOTAL(9,G15:G19)</f>
        <v>4232</v>
      </c>
      <c r="H20" s="997">
        <f>IF(ISNUMBER(G20/B20),G20/B20," - ")</f>
        <v>846.4</v>
      </c>
      <c r="I20" s="996">
        <f>SUBTOTAL(9,I15:I19)</f>
        <v>2164</v>
      </c>
      <c r="J20" s="997">
        <f>IF(ISNUMBER(I20/B20),I20/B20," - ")</f>
        <v>432.8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8127</v>
      </c>
      <c r="D21" s="942" t="str">
        <f>IF(ISNUMBER(C21/Datos!BI21),C21/Datos!BI21," - ")</f>
        <v xml:space="preserve"> - </v>
      </c>
      <c r="E21" s="941">
        <f>SUBTOTAL(9,E9:E20)</f>
        <v>6776</v>
      </c>
      <c r="F21" s="942">
        <f>IF(ISNUMBER(E21/B21),E21/B21," - ")</f>
        <v>677.6</v>
      </c>
      <c r="G21" s="941">
        <f>SUBTOTAL(9,G9:G20)</f>
        <v>6714</v>
      </c>
      <c r="H21" s="942">
        <f>IF(ISNUMBER(G21/B21),G21/B21," - ")</f>
        <v>671.4</v>
      </c>
      <c r="I21" s="941">
        <f>SUBTOTAL(9,I9:I20)</f>
        <v>8206</v>
      </c>
      <c r="J21" s="942">
        <f>IF(ISNUMBER(I21/B21),I21/B21," - ")</f>
        <v>820.6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gkusoqwLaoPv0lIFETMUyRRZxFZ4ZXnticKWGltzjb06ThgiqaKx9yIieeed9b4yUrkjliArHn/y+9O/UgiXg==" saltValue="bf7Oa0aVv0g7XF2My96M1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MALAGA  Resumenes por Partidos Judiciales  TORREMOLINOS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132</v>
      </c>
      <c r="G10" s="803">
        <f>IF(ISNUMBER(Datos!I10),Datos!I10," - ")</f>
        <v>132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44</v>
      </c>
      <c r="AC10" s="802" t="str">
        <f>IF(ISNUMBER(IF(D_I="SI",DatosP!K18,DatosP!K18+DatosP!AE18)),IF(D_I="SI",DatosP!K18,DatosP!K18+DatosP!AE18)," - ")</f>
        <v xml:space="preserve"> - </v>
      </c>
      <c r="AD10" s="804"/>
      <c r="AE10" s="804"/>
      <c r="AF10" s="807">
        <f>IF(ISNUMBER(Datos!L10),Datos!L10,"-")</f>
        <v>123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23</v>
      </c>
      <c r="AM10" s="811">
        <f>IF(ISNUMBER(Datos!N10+DatosP!N18),Datos!N10+DatosP!N18," - ")</f>
        <v>13</v>
      </c>
      <c r="AN10" s="811">
        <f>IF(ISNUMBER(Datos!BW10+DatosP!BW18),Datos!BW10+DatosP!BW18," - ")</f>
        <v>0</v>
      </c>
      <c r="AO10" s="812">
        <f>IF(ISNUMBER(Datos!BX10+DatosP!BX18),Datos!BX10+DatosP!BX18," - ")</f>
        <v>0</v>
      </c>
      <c r="AP10" s="814">
        <f>IF(ISNUMBER(((Datos!L10/Datos!K10)*11)/factor_trimestre),((Datos!L10/Datos!K10)*11)/factor_trimestre," - ")</f>
        <v>8.3863636363636367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132</v>
      </c>
      <c r="G14" s="1085">
        <f t="shared" si="0"/>
        <v>132</v>
      </c>
      <c r="H14" s="1085">
        <f t="shared" si="0"/>
        <v>0</v>
      </c>
      <c r="I14" s="1087">
        <f t="shared" si="0"/>
        <v>0</v>
      </c>
      <c r="J14" s="1086">
        <f t="shared" si="0"/>
        <v>0</v>
      </c>
      <c r="K14" s="1086">
        <f t="shared" si="0"/>
        <v>0</v>
      </c>
      <c r="L14" s="1088">
        <f t="shared" si="0"/>
        <v>0</v>
      </c>
      <c r="M14" s="1088">
        <f t="shared" si="0"/>
        <v>0</v>
      </c>
      <c r="N14" s="1086">
        <f t="shared" si="0"/>
        <v>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44</v>
      </c>
      <c r="AC14" s="1086">
        <f t="shared" si="1"/>
        <v>0</v>
      </c>
      <c r="AD14" s="1086">
        <f t="shared" si="1"/>
        <v>0</v>
      </c>
      <c r="AE14" s="1086">
        <f t="shared" si="1"/>
        <v>0</v>
      </c>
      <c r="AF14" s="1086">
        <f t="shared" si="1"/>
        <v>123</v>
      </c>
      <c r="AG14" s="1086">
        <f t="shared" si="1"/>
        <v>0</v>
      </c>
      <c r="AH14" s="1086">
        <f t="shared" si="1"/>
        <v>0</v>
      </c>
      <c r="AI14" s="1086">
        <f t="shared" si="1"/>
        <v>0</v>
      </c>
      <c r="AJ14" s="1086">
        <f t="shared" si="1"/>
        <v>0</v>
      </c>
      <c r="AK14" s="1086">
        <f t="shared" si="1"/>
        <v>0</v>
      </c>
      <c r="AL14" s="1086">
        <f t="shared" si="1"/>
        <v>23</v>
      </c>
      <c r="AM14" s="1086">
        <f t="shared" si="1"/>
        <v>13</v>
      </c>
      <c r="AN14" s="1086">
        <f t="shared" si="1"/>
        <v>0</v>
      </c>
      <c r="AO14" s="1086">
        <f t="shared" si="1"/>
        <v>0</v>
      </c>
      <c r="AP14" s="1091">
        <f>IF(ISNUMBER(((Datos!L14/Datos!K14)*11)/factor_trimestre),((Datos!L14/Datos!K14)*11)/factor_trimestre," - ")</f>
        <v>7.8371681415929197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1.5340264650283555</v>
      </c>
      <c r="AQ20" s="1091">
        <f>IF(ISNUMBER(((Datos!M20/Datos!L20)*11)/factor_trimestre),((Datos!M20/Datos!L20)*11)/factor_trimestre," - ")</f>
        <v>0.42698706099815159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0.12121212121212122</v>
      </c>
      <c r="AW20" s="1093">
        <f>IF(ISNUMBER((Datos!Q20-Datos!R20)/(Datos!S20-Datos!Q20+Datos!R20)),(Datos!Q20-Datos!R20)/(Datos!S20-Datos!Q20+Datos!R20)," - ")</f>
        <v>-6.5759637188208611E-2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132</v>
      </c>
      <c r="G21" s="1098">
        <f t="shared" si="4"/>
        <v>132</v>
      </c>
      <c r="H21" s="1098">
        <f t="shared" si="4"/>
        <v>0</v>
      </c>
      <c r="I21" s="1099">
        <f t="shared" si="4"/>
        <v>0</v>
      </c>
      <c r="J21" s="1100">
        <f t="shared" si="4"/>
        <v>0</v>
      </c>
      <c r="K21" s="1100">
        <f t="shared" si="4"/>
        <v>0</v>
      </c>
      <c r="L21" s="1100">
        <f t="shared" si="4"/>
        <v>0</v>
      </c>
      <c r="M21" s="1100">
        <f t="shared" si="4"/>
        <v>0</v>
      </c>
      <c r="N21" s="1099">
        <f t="shared" si="4"/>
        <v>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44</v>
      </c>
      <c r="AC21" s="1104">
        <f t="shared" si="5"/>
        <v>0</v>
      </c>
      <c r="AD21" s="1104">
        <f t="shared" si="5"/>
        <v>0</v>
      </c>
      <c r="AE21" s="1104">
        <f t="shared" si="5"/>
        <v>0</v>
      </c>
      <c r="AF21" s="1105">
        <f t="shared" si="5"/>
        <v>123</v>
      </c>
      <c r="AG21" s="1105">
        <f t="shared" si="5"/>
        <v>0</v>
      </c>
      <c r="AH21" s="1105">
        <f t="shared" si="5"/>
        <v>0</v>
      </c>
      <c r="AI21" s="1105">
        <f t="shared" si="5"/>
        <v>0</v>
      </c>
      <c r="AJ21" s="1106">
        <f t="shared" si="5"/>
        <v>0</v>
      </c>
      <c r="AK21" s="1106">
        <f t="shared" si="5"/>
        <v>0</v>
      </c>
      <c r="AL21" s="1098">
        <f t="shared" si="5"/>
        <v>23</v>
      </c>
      <c r="AM21" s="1098">
        <f t="shared" si="5"/>
        <v>13</v>
      </c>
      <c r="AN21" s="1098">
        <f t="shared" si="5"/>
        <v>0</v>
      </c>
      <c r="AO21" s="1098">
        <f t="shared" si="5"/>
        <v>0</v>
      </c>
      <c r="AP21" s="1098">
        <f>IF(ISNUMBER(((Datos!L21/Datos!K21)*11)/factor_trimestre),((Datos!L21/Datos!K21)*11)/factor_trimestre," - ")</f>
        <v>3.7282809611829943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3.8704002345697111E-2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76.210235533030598</v>
      </c>
      <c r="G23" s="871">
        <f>IF(ISNUMBER(STDEV(G8:G20)),STDEV(G8:G20),"-")</f>
        <v>76.210235533030598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25.40341184434353</v>
      </c>
      <c r="AC23" s="872">
        <f>IF(ISNUMBER(STDEV(AC8:AC20)),STDEV(AC8:AC20),"-")</f>
        <v>0</v>
      </c>
      <c r="AD23" s="875"/>
      <c r="AE23" s="875"/>
      <c r="AF23" s="875"/>
      <c r="AG23" s="875"/>
      <c r="AH23" s="875"/>
      <c r="AI23" s="875"/>
      <c r="AJ23" s="876">
        <f>IF(ISNUMBER(STDEV(AJ8:AJ20)),STDEV(AJ8:AJ20),"-")</f>
        <v>0</v>
      </c>
      <c r="AK23" s="878"/>
      <c r="AL23" s="870">
        <f>IF(ISNUMBER(STDEV(AL8:AL20)),STDEV(AL8:AL20),"-")</f>
        <v>13.279056191361391</v>
      </c>
      <c r="AM23" s="870"/>
      <c r="AN23" s="870">
        <f>IF(ISNUMBER(STDEV(AN8:AN20)),STDEV(AN8:AN20),"-")</f>
        <v>0</v>
      </c>
      <c r="AO23" s="876">
        <f>IF(ISNUMBER(STDEV(AO8:AO20)),STDEV(AO8:AO20),"-")</f>
        <v>0</v>
      </c>
      <c r="AP23" s="923">
        <f>IF(ISNUMBER(STDEV(AP8:AP20)),STDEV(AP8:AP20),"-")</f>
        <v>3.8075743677566529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9Yji0eqDrnDY7xp9XTEdPXKa6fGUOmPCBwS4E/eZmCK9yT7WGWHF++3qzYa+76QFgiGONu+O7Zx0zukXbe/g==" saltValue="RUHICV5SH9+qmVjJECS3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MALAGA</v>
      </c>
      <c r="C3" s="427"/>
      <c r="F3" s="400"/>
      <c r="G3" s="400"/>
      <c r="H3" s="400"/>
    </row>
    <row r="4" spans="1:15" ht="13.5" thickBot="1">
      <c r="A4" s="400"/>
      <c r="B4" s="403" t="str">
        <f>Criterios!A11 &amp;"  "&amp;Criterios!B11</f>
        <v>Resumenes por Partidos Judiciales  TORREMOLINOS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vvjPfLK41PyPK6aYoPQdkz+iSTdrxJvzcVx+gVbS3wv5UhjDdtgQVjbpO3Pz8B7w1an+VtdZ4WK73fPMa0IoQ==" saltValue="s3U3TOSTincHvQDv5FOA0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MALAGA</v>
      </c>
      <c r="C3" s="439"/>
      <c r="D3" s="440"/>
    </row>
    <row r="4" spans="1:9" ht="13.5" thickBot="1">
      <c r="B4" s="441" t="str">
        <f>Criterios!A11 &amp;"  "&amp;Criterios!B11</f>
        <v>Resumenes por Partidos Judiciales  TORREMOLINOS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557</v>
      </c>
      <c r="E9" s="416">
        <f t="shared" ref="E9:E14" si="0">IF(ISNUMBER(D9/B9),D9/B9," - ")</f>
        <v>111.4</v>
      </c>
      <c r="F9" s="415">
        <f>IF(ISNUMBER(Datos!N9),Datos!N9," - ")</f>
        <v>1154</v>
      </c>
      <c r="G9" s="416">
        <f t="shared" ref="G9:G14" si="1">IF(ISNUMBER(F9/B9),F9/B9," - ")</f>
        <v>230.8</v>
      </c>
      <c r="H9" s="415">
        <f>IF(ISNUMBER(Datos!O9),Datos!O9," - ")</f>
        <v>962</v>
      </c>
      <c r="I9" s="416">
        <f>IF(ISNUMBER(H9/B9),H9/B9," - ")</f>
        <v>192.4</v>
      </c>
    </row>
    <row r="10" spans="1:9">
      <c r="A10" s="414" t="str">
        <f>Datos!A10</f>
        <v>Jdos. Violencia contra la mujer</v>
      </c>
      <c r="B10" s="444">
        <f>Datos!AO10</f>
        <v>1</v>
      </c>
      <c r="C10" s="422">
        <f>Datos!AQ10</f>
        <v>0</v>
      </c>
      <c r="D10" s="415">
        <f>IF(ISNUMBER(Datos!M10),Datos!M10," - ")</f>
        <v>23</v>
      </c>
      <c r="E10" s="416">
        <f>IF(ISNUMBER(D10/B10),D10/B10," - ")</f>
        <v>23</v>
      </c>
      <c r="F10" s="415">
        <f>IF(ISNUMBER(Datos!N10),Datos!N10," - ")</f>
        <v>13</v>
      </c>
      <c r="G10" s="416">
        <f>IF(ISNUMBER(F10/B10),F10/B10," - ")</f>
        <v>13</v>
      </c>
      <c r="H10" s="415">
        <f>IF(ISNUMBER(Datos!O10),Datos!O10," - ")</f>
        <v>8</v>
      </c>
      <c r="I10" s="416">
        <f t="shared" ref="I10:I13" si="2">IF(ISNUMBER(H10/B10),H10/B10," - ")</f>
        <v>8</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580</v>
      </c>
      <c r="E14" s="997">
        <f t="shared" si="0"/>
        <v>96.666666666666671</v>
      </c>
      <c r="F14" s="996">
        <f>SUBTOTAL(9,F9:F13)</f>
        <v>1167</v>
      </c>
      <c r="G14" s="997">
        <f t="shared" si="1"/>
        <v>194.5</v>
      </c>
      <c r="H14" s="996">
        <f>SUBTOTAL(9,H9:H13)</f>
        <v>970</v>
      </c>
      <c r="I14" s="997">
        <f>IF(ISNUMBER(H14/B14),H14/B14," - ")</f>
        <v>161.66666666666666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276</v>
      </c>
      <c r="E16" s="416">
        <f t="shared" ref="E16:E20" si="3">IF(ISNUMBER(D16/B16),D16/B16," - ")</f>
        <v>55.2</v>
      </c>
      <c r="F16" s="415">
        <f>IF(ISNUMBER(Datos!N16),Datos!N16," - ")</f>
        <v>2874</v>
      </c>
      <c r="G16" s="416">
        <f t="shared" ref="G16:G20" si="4">IF(ISNUMBER(F16/B16),F16/B16," - ")</f>
        <v>574.79999999999995</v>
      </c>
      <c r="H16" s="415">
        <f>IF(ISNUMBER(Datos!O16),Datos!O16," - ")</f>
        <v>38</v>
      </c>
      <c r="I16" s="416">
        <f t="shared" ref="I16:I19" si="5">IF(ISNUMBER(H16/B16),H16/B16," - ")</f>
        <v>7.6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32</v>
      </c>
      <c r="E18" s="416">
        <f>IF(ISNUMBER(D18/B18),D18/B18," - ")</f>
        <v>32</v>
      </c>
      <c r="F18" s="415">
        <f>IF(ISNUMBER(Datos!N18),Datos!N18," - ")</f>
        <v>128</v>
      </c>
      <c r="G18" s="416">
        <f>IF(ISNUMBER(F18/B18),F18/B18," - ")</f>
        <v>128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308</v>
      </c>
      <c r="E20" s="997">
        <f t="shared" si="3"/>
        <v>51.333333333333336</v>
      </c>
      <c r="F20" s="996">
        <f>SUBTOTAL(9,F16:F19)</f>
        <v>3002</v>
      </c>
      <c r="G20" s="997">
        <f t="shared" si="4"/>
        <v>500.33333333333331</v>
      </c>
      <c r="H20" s="996">
        <f>SUBTOTAL(9,H16:H19)</f>
        <v>38</v>
      </c>
      <c r="I20" s="997">
        <f>IF(ISNUMBER(H20/B20),H20/B20," - ")</f>
        <v>6.333333333333333</v>
      </c>
    </row>
    <row r="21" spans="1:9" ht="14.25" thickTop="1" thickBot="1">
      <c r="A21" s="940" t="str">
        <f>Datos!A21</f>
        <v>TOTAL JURISDICCIONES</v>
      </c>
      <c r="B21" s="941">
        <f>Datos!AP21</f>
        <v>10</v>
      </c>
      <c r="C21" s="941">
        <f>Datos!AR21</f>
        <v>10</v>
      </c>
      <c r="D21" s="941">
        <f>SUBTOTAL(9,D8:D20)</f>
        <v>888</v>
      </c>
      <c r="E21" s="942">
        <f>IF(ISNUMBER(D21/B21),D21/B21," - ")</f>
        <v>88.8</v>
      </c>
      <c r="F21" s="941">
        <f>SUBTOTAL(9,F8:F20)</f>
        <v>4169</v>
      </c>
      <c r="G21" s="942">
        <f>IF(ISNUMBER(F21/B21),F21/B21," - ")</f>
        <v>416.9</v>
      </c>
      <c r="H21" s="941">
        <f>SUBTOTAL(9,H8:H20)</f>
        <v>1008</v>
      </c>
      <c r="I21" s="942">
        <f>IF(ISNUMBER(H21/B21),H21/B21," - ")</f>
        <v>100.8</v>
      </c>
    </row>
    <row r="24" spans="1:9">
      <c r="A24" s="403" t="str">
        <f>Criterios!A4</f>
        <v>Fecha Informe: 06 jun. 2023</v>
      </c>
    </row>
    <row r="29" spans="1:9">
      <c r="A29" s="426"/>
    </row>
  </sheetData>
  <sheetProtection algorithmName="SHA-512" hashValue="qsWx1cuQy2ayEGDsYaOl2P/UqnMIu111+JU3yWdYxQrJj01rPnbp42LXTMXidn4Uc0jpVESWZb3ifdUph1wr6w==" saltValue="i8YFeT7Vn6pQ8j8tD8uQ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MALAGA</v>
      </c>
    </row>
    <row r="4" spans="1:4" ht="13.5" thickBot="1">
      <c r="B4" s="403" t="str">
        <f>Criterios!A11 &amp;"  "&amp;Criterios!B11</f>
        <v>Resumenes por Partidos Judiciales  TORREMOLINOS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509</v>
      </c>
      <c r="C9" s="451">
        <f>IF(ISNUMBER(Datos!Q9),Datos!Q9," - ")</f>
        <v>277</v>
      </c>
      <c r="D9" s="420">
        <f>IF(ISNUMBER(Datos!R9),Datos!R9," - ")</f>
        <v>6790</v>
      </c>
    </row>
    <row r="10" spans="1:4">
      <c r="A10" s="414" t="str">
        <f>Datos!A10</f>
        <v>Jdos. Violencia contra la mujer</v>
      </c>
      <c r="B10" s="450">
        <f>IF(ISNUMBER(Datos!P10),Datos!P10," - ")</f>
        <v>8</v>
      </c>
      <c r="C10" s="451">
        <f>IF(ISNUMBER(Datos!Q10),Datos!Q10," - ")</f>
        <v>0</v>
      </c>
      <c r="D10" s="420">
        <f>IF(ISNUMBER(Datos!R10),Datos!R10," - ")</f>
        <v>73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517</v>
      </c>
      <c r="C14" s="1000">
        <f>SUBTOTAL(9,C9:C13)</f>
        <v>277</v>
      </c>
      <c r="D14" s="998">
        <f>SUBTOTAL(9,D9:D13)</f>
        <v>6863</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71</v>
      </c>
      <c r="C16" s="451">
        <f>IF(ISNUMBER(Datos!Q16),Datos!Q16," - ")</f>
        <v>48</v>
      </c>
      <c r="D16" s="420">
        <f>IF(ISNUMBER(Datos!R16),Datos!R16," - ")</f>
        <v>217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v>
      </c>
      <c r="C18" s="451">
        <f>IF(ISNUMBER(Datos!Q18),Datos!Q18," - ")</f>
        <v>0</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72</v>
      </c>
      <c r="C20" s="1000">
        <f>SUBTOTAL(9,C16:C19)</f>
        <v>48</v>
      </c>
      <c r="D20" s="998">
        <f>SUBTOTAL(9,D16:D19)</f>
        <v>222</v>
      </c>
    </row>
    <row r="21" spans="1:4" ht="16.5" customHeight="1" thickTop="1" thickBot="1">
      <c r="A21" s="940" t="str">
        <f>Datos!A21</f>
        <v>TOTAL JURISDICCIONES</v>
      </c>
      <c r="B21" s="945">
        <f>SUBTOTAL(9,B8:B20)</f>
        <v>589</v>
      </c>
      <c r="C21" s="946">
        <f>SUBTOTAL(9,C8:C20)</f>
        <v>325</v>
      </c>
      <c r="D21" s="947">
        <f>SUBTOTAL(9,D8:D20)</f>
        <v>7085</v>
      </c>
    </row>
    <row r="22" spans="1:4" ht="7.5" customHeight="1"/>
    <row r="23" spans="1:4" ht="6" customHeight="1"/>
    <row r="24" spans="1:4">
      <c r="A24" s="403" t="str">
        <f>Criterios!A4</f>
        <v>Fecha Informe: 06 jun. 2023</v>
      </c>
    </row>
    <row r="29" spans="1:4">
      <c r="A29" s="426"/>
    </row>
  </sheetData>
  <sheetProtection algorithmName="SHA-512" hashValue="4xbYCS53XF9k5yeE1XyigPVDb2okKDph7py9FPi7YznqpIpVrt82cTPPyvahedwqweL+C1jOy3LVl41Zj5OBNQ==" saltValue="4Gk0JjDWYABM/wJ+Zc5u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MALAGA</v>
      </c>
    </row>
    <row r="4" spans="1:11" ht="10.5" customHeight="1" thickBot="1">
      <c r="B4" s="403" t="str">
        <f>Criterios!A11 &amp;"  "&amp;Criterios!B11</f>
        <v>Resumenes por Partidos Judiciales  TORREMOLINOS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2.4604885057471264E-2</v>
      </c>
      <c r="C9" s="473">
        <f>IF(ISNUMBER(
   IF(J_V="SI",(Datos!J9-Datos!T9)/Datos!T9,(Datos!J9+Datos!Z9-(Datos!T9+Datos!AH9))/(Datos!T9+Datos!AH9))
     ),IF(J_V="SI",(Datos!J9-Datos!T9)/Datos!T9,(Datos!J9+Datos!Z9-(Datos!T9+Datos!AH9))/(Datos!T9+Datos!AH9))," - ")</f>
        <v>0.18580931263858094</v>
      </c>
      <c r="D9" s="473">
        <f>IF(ISNUMBER(
   IF(J_V="SI",(Datos!K9-Datos!U9)/Datos!U9,(Datos!K9+Datos!AA9-(Datos!U9+Datos!AI9))/(Datos!U9+Datos!AI9))
     ),IF(J_V="SI",(Datos!K9-Datos!U9)/Datos!U9,(Datos!K9+Datos!AA9-(Datos!U9+Datos!AI9))/(Datos!U9+Datos!AI9))," - ")</f>
        <v>0.16762452107279693</v>
      </c>
      <c r="E9" s="473">
        <f>IF(ISNUMBER(
   IF(J_V="SI",(Datos!L9-Datos!V9)/Datos!V9,(Datos!L9+Datos!AB9-(Datos!V9+Datos!AJ9))/(Datos!V9+Datos!AJ9))
     ),IF(J_V="SI",(Datos!L9-Datos!V9)/Datos!V9,(Datos!L9+Datos!AB9-(Datos!V9+Datos!AJ9))/(Datos!V9+Datos!AJ9))," - ")</f>
        <v>3.2083696599825635E-2</v>
      </c>
      <c r="F9" s="473">
        <f>IF(ISNUMBER((Datos!M9-Datos!W9)/Datos!W9),(Datos!M9-Datos!W9)/Datos!W9," - ")</f>
        <v>0.21350762527233116</v>
      </c>
      <c r="G9" s="474">
        <f>IF(ISNUMBER((Datos!N9-Datos!X9)/Datos!X9),(Datos!N9-Datos!X9)/Datos!X9," - ")</f>
        <v>0.21601685985247629</v>
      </c>
      <c r="H9" s="472">
        <f>IF(ISNUMBER(((NºAsuntos!G9/NºAsuntos!E9)-Datos!BD9)/Datos!BD9),((NºAsuntos!G9/NºAsuntos!E9)-Datos!BD9)/Datos!BD9," - ")</f>
        <v>-1.5335342176829719E-2</v>
      </c>
      <c r="I9" s="473">
        <f>IF(ISNUMBER(((NºAsuntos!I9/NºAsuntos!G9)-Datos!BE9)/Datos!BE9),((NºAsuntos!I9/NºAsuntos!G9)-Datos!BE9)/Datos!BE9," - ")</f>
        <v>-0.11608254368316817</v>
      </c>
      <c r="J9" s="478">
        <f>IF(ISNUMBER((('Resol  Asuntos'!D9/NºAsuntos!G9)-Datos!BF9)/Datos!BF9),(('Resol  Asuntos'!D9/NºAsuntos!G9)-Datos!BF9)/Datos!BF9," - ")</f>
        <v>-0.4973267486780697</v>
      </c>
      <c r="K9" s="479">
        <f>IF(ISNUMBER((((NºAsuntos!C9+NºAsuntos!E9)/NºAsuntos!G9)-Datos!BG9)/Datos!BG9),(((NºAsuntos!C9+NºAsuntos!E9)/NºAsuntos!G9)-Datos!BG9)/Datos!BG9," - ")</f>
        <v>-8.2691002750875431E-2</v>
      </c>
    </row>
    <row r="10" spans="1:11">
      <c r="A10" s="414" t="str">
        <f>Datos!A10</f>
        <v>Jdos. Violencia contra la mujer</v>
      </c>
      <c r="B10" s="472">
        <f>IF(ISNUMBER((Datos!I10-Datos!S10)/Datos!S10),(Datos!I10-Datos!S10)/Datos!S10," - ")</f>
        <v>4.7619047619047616E-2</v>
      </c>
      <c r="C10" s="473">
        <f>IF(ISNUMBER((Datos!J10-Datos!T10)/Datos!T10),(Datos!J10-Datos!T10)/Datos!T10," - ")</f>
        <v>-0.20454545454545456</v>
      </c>
      <c r="D10" s="473">
        <f>IF(ISNUMBER((Datos!K10-Datos!U10)/Datos!U10),(Datos!K10-Datos!U10)/Datos!U10," - ")</f>
        <v>0.69230769230769229</v>
      </c>
      <c r="E10" s="473">
        <f>IF(ISNUMBER((Datos!L10-Datos!V10)/Datos!V10),(Datos!L10-Datos!V10)/Datos!V10," - ")</f>
        <v>-0.14583333333333334</v>
      </c>
      <c r="F10" s="473">
        <f>IF(ISNUMBER((Datos!M10-Datos!W10)/Datos!W10),(Datos!M10-Datos!W10)/Datos!W10," - ")</f>
        <v>6.666666666666667</v>
      </c>
      <c r="G10" s="474">
        <f>IF(ISNUMBER((Datos!N10-Datos!X10)/Datos!X10),(Datos!N10-Datos!X10)/Datos!X10," - ")</f>
        <v>1.6</v>
      </c>
      <c r="H10" s="472">
        <f>IF(ISNUMBER(((NºAsuntos!G10/NºAsuntos!E10)-Datos!BD10)/Datos!BD10),((NºAsuntos!G10/NºAsuntos!E10)-Datos!BD10)/Datos!BD10," - ")</f>
        <v>1.1274725274725272</v>
      </c>
      <c r="I10" s="473">
        <f>IF(ISNUMBER(((NºAsuntos!I10/NºAsuntos!G10)-Datos!BE10)/Datos!BE10),((NºAsuntos!I10/NºAsuntos!G10)-Datos!BE10)/Datos!BE10," - ")</f>
        <v>-0.49526515151515149</v>
      </c>
      <c r="J10" s="478">
        <f>IF(ISNUMBER((('Resol  Asuntos'!D10/NºAsuntos!G10)-Datos!BF10)/Datos!BF10),(('Resol  Asuntos'!D10/NºAsuntos!G10)-Datos!BF10)/Datos!BF10," - ")</f>
        <v>3.5303030303030298</v>
      </c>
      <c r="K10" s="479">
        <f>IF(ISNUMBER((((NºAsuntos!C10+NºAsuntos!E10)/NºAsuntos!G10)-Datos!BG10)/Datos!BG10),(((NºAsuntos!C10+NºAsuntos!E10)/NºAsuntos!G10)-Datos!BG10)/Datos!BG10," - ")</f>
        <v>-0.41951871657754009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2.5114155251141551E-2</v>
      </c>
      <c r="C14" s="1002">
        <f>IF(ISNUMBER(
   IF(J_V="SI",(Datos!J14-Datos!T14)/Datos!T14,(Datos!J14+Datos!Z14-(Datos!T14+Datos!AH14))/(Datos!T14+Datos!AH14))
     ),IF(J_V="SI",(Datos!J14-Datos!T14)/Datos!T14,(Datos!J14+Datos!Z14-(Datos!T14+Datos!AH14))/(Datos!T14+Datos!AH14))," - ")</f>
        <v>0.17833840800347978</v>
      </c>
      <c r="D14" s="1002">
        <f>IF(ISNUMBER(
   IF(J_V="SI",(Datos!K14-Datos!U14)/Datos!U14,(Datos!K14+Datos!AA14-(Datos!U14+Datos!AI14))/(Datos!U14+Datos!AI14))
     ),IF(J_V="SI",(Datos!K14-Datos!U14)/Datos!U14,(Datos!K14+Datos!AA14-(Datos!U14+Datos!AI14))/(Datos!U14+Datos!AI14))," - ")</f>
        <v>0.17407757805108798</v>
      </c>
      <c r="E14" s="1002">
        <f>IF(ISNUMBER(
   IF(J_V="SI",(Datos!L14-Datos!V14)/Datos!V14,(Datos!L14+Datos!AB14-(Datos!V14+Datos!AJ14))/(Datos!V14+Datos!AJ14))
     ),IF(J_V="SI",(Datos!L14-Datos!V14)/Datos!V14,(Datos!L14+Datos!AB14-(Datos!V14+Datos!AJ14))/(Datos!V14+Datos!AJ14))," - ")</f>
        <v>2.7725803708113624E-2</v>
      </c>
      <c r="F14" s="1003">
        <f>IF(ISNUMBER((Datos!M14-Datos!W14)/Datos!W14),(Datos!M14-Datos!W14)/Datos!W14," - ")</f>
        <v>0.25541125541125542</v>
      </c>
      <c r="G14" s="1004">
        <f>IF(ISNUMBER((Datos!N14-Datos!X14)/Datos!X14),(Datos!N14-Datos!X14)/Datos!X14," - ")</f>
        <v>0.22327044025157233</v>
      </c>
      <c r="H14" s="1004">
        <f>IF(ISNUMBER(((NºAsuntos!G14/NºAsuntos!E14)-Datos!BD14)/Datos!BD14),((NºAsuntos!G14/NºAsuntos!E14)-Datos!BD14)/Datos!BD14," - ")</f>
        <v>-3.6159645849202474E-3</v>
      </c>
      <c r="I14" s="1004">
        <f>IF(ISNUMBER(((NºAsuntos!I14/NºAsuntos!G14)-Datos!BE14)/Datos!BE14),((NºAsuntos!I14/NºAsuntos!G14)-Datos!BE14)/Datos!BE14," - ")</f>
        <v>-0.12465255880783555</v>
      </c>
      <c r="J14" s="1004">
        <f>IF(ISNUMBER((('Resol  Asuntos'!D14/NºAsuntos!G14)-Datos!BF14)/Datos!BF14),(('Resol  Asuntos'!D14/NºAsuntos!G14)-Datos!BF14)/Datos!BF14," - ")</f>
        <v>-0.48108735839218852</v>
      </c>
      <c r="K14" s="1004">
        <f>IF(ISNUMBER((((NºAsuntos!C14+NºAsuntos!E14)/NºAsuntos!G14)-Datos!BG14)/Datos!BG14),(((NºAsuntos!C14+NºAsuntos!E14)/NºAsuntos!G14)-Datos!BG14)/Datos!BG14," - ")</f>
        <v>-8.9339957313576052E-2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-6.0722891566265064E-2</v>
      </c>
      <c r="C16" s="473">
        <f>IF(ISNUMBER(
   IF(D_I="SI",(Datos!J16-Datos!T16)/Datos!T16,(Datos!J16+Datos!AD16-(Datos!T16+Datos!AL16))/(Datos!T16+Datos!AL16))
     ),IF(D_I="SI",(Datos!J16-Datos!T16)/Datos!T16,(Datos!J16+Datos!AD16-(Datos!T16+Datos!AL16))/(Datos!T16+Datos!AL16))," - ")</f>
        <v>0.1230814639905549</v>
      </c>
      <c r="D16" s="473">
        <f>IF(ISNUMBER(
   IF(D_I="SI",(Datos!K16-Datos!U16)/Datos!U16,(Datos!K16+Datos!AE16-(Datos!U16+Datos!AM16))/(Datos!U16+Datos!AM16))
     ),IF(D_I="SI",(Datos!K16-Datos!U16)/Datos!U16,(Datos!K16+Datos!AE16-(Datos!U16+Datos!AM16))/(Datos!U16+Datos!AM16))," - ")</f>
        <v>0.11345720720720721</v>
      </c>
      <c r="E16" s="473">
        <f>IF(ISNUMBER(
   IF(D_I="SI",(Datos!L16-Datos!V16)/Datos!V16,(Datos!L16+Datos!AF16-(Datos!V16+Datos!AN16))/(Datos!V16+Datos!AN16))
     ),IF(D_I="SI",(Datos!L16-Datos!V16)/Datos!V16,(Datos!L16+Datos!AF16-(Datos!V16+Datos!AN16))/(Datos!V16+Datos!AN16))," - ")</f>
        <v>-2.8086910439851617E-2</v>
      </c>
      <c r="F16" s="473">
        <f>IF(ISNUMBER((Datos!M16-Datos!W16)/Datos!W16),(Datos!M16-Datos!W16)/Datos!W16," - ")</f>
        <v>-0.12380952380952381</v>
      </c>
      <c r="G16" s="474">
        <f>IF(ISNUMBER((Datos!N16-Datos!X16)/Datos!X16),(Datos!N16-Datos!X16)/Datos!X16," - ")</f>
        <v>0.20503144654088051</v>
      </c>
      <c r="H16" s="472">
        <f>IF(ISNUMBER(((NºAsuntos!G16/NºAsuntos!E16)-Datos!BD16)/Datos!BD16),((NºAsuntos!G16/NºAsuntos!E16)-Datos!BD16)/Datos!BD16," - ")</f>
        <v>-8.5695090622817036E-3</v>
      </c>
      <c r="I16" s="473">
        <f>IF(ISNUMBER(((NºAsuntos!I16/NºAsuntos!G16)-Datos!BE16)/Datos!BE16),((NºAsuntos!I16/NºAsuntos!G16)-Datos!BE16)/Datos!BE16," - ")</f>
        <v>-0.12712129099427377</v>
      </c>
      <c r="J16" s="478">
        <f>IF(ISNUMBER((('Resol  Asuntos'!D16/NºAsuntos!G16)-Datos!BF16)/Datos!BF16),(('Resol  Asuntos'!D16/NºAsuntos!G16)-Datos!BF16)/Datos!BF16," - ")</f>
        <v>-0.21309012100415384</v>
      </c>
      <c r="K16" s="479">
        <f>IF(ISNUMBER((((NºAsuntos!C16+NºAsuntos!E16)/NºAsuntos!G16)-Datos!BG16)/Datos!BG16),(((NºAsuntos!C16+NºAsuntos!E16)/NºAsuntos!G16)-Datos!BG16)/Datos!BG16," - ")</f>
        <v>-5.4056654663148282E-2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-0.14105793450881612</v>
      </c>
      <c r="C18" s="473">
        <f>IF(ISNUMBER(
   IF(D_I="SI",(Datos!J18-Datos!T18)/Datos!T18,(Datos!J18+Datos!AD18-(Datos!T18+Datos!AL18))/(Datos!T18+Datos!AL18))
     ),IF(D_I="SI",(Datos!J18-Datos!T18)/Datos!T18,(Datos!J18+Datos!AD18-(Datos!T18+Datos!AL18))/(Datos!T18+Datos!AL18))," - ")</f>
        <v>-0.2742382271468144</v>
      </c>
      <c r="D18" s="473">
        <f>IF(ISNUMBER(
   IF(D_I="SI",(Datos!K18-Datos!U18)/Datos!U18,(Datos!K18+Datos!AE18-(Datos!U18+Datos!AM18))/(Datos!U18+Datos!AM18))
     ),IF(D_I="SI",(Datos!K18-Datos!U18)/Datos!U18,(Datos!K18+Datos!AE18-(Datos!U18+Datos!AM18))/(Datos!U18+Datos!AM18))," - ")</f>
        <v>-0.30402010050251255</v>
      </c>
      <c r="E18" s="473">
        <f>IF(ISNUMBER(
   IF(D_I="SI",(Datos!L18-Datos!V18)/Datos!V18,(Datos!L18+Datos!AF18-(Datos!V18+Datos!AN18))/(Datos!V18+Datos!AN18))
     ),IF(D_I="SI",(Datos!L18-Datos!V18)/Datos!V18,(Datos!L18+Datos!AF18-(Datos!V18+Datos!AN18))/(Datos!V18+Datos!AN18))," - ")</f>
        <v>-0.11528150134048257</v>
      </c>
      <c r="F18" s="473">
        <f>IF(ISNUMBER((Datos!M18-Datos!W18)/Datos!W18),(Datos!M18-Datos!W18)/Datos!W18," - ")</f>
        <v>0.68421052631578949</v>
      </c>
      <c r="G18" s="474">
        <f>IF(ISNUMBER((Datos!N18-Datos!X18)/Datos!X18),(Datos!N18-Datos!X18)/Datos!X18," - ")</f>
        <v>-0.2967032967032967</v>
      </c>
      <c r="H18" s="472">
        <f>IF(ISNUMBER(((NºAsuntos!G18/NºAsuntos!E18)-Datos!BD18)/Datos!BD18),((NºAsuntos!G18/NºAsuntos!E18)-Datos!BD18)/Datos!BD18," - ")</f>
        <v>-4.1035329318347448E-2</v>
      </c>
      <c r="I18" s="473">
        <f>IF(ISNUMBER(((NºAsuntos!I18/NºAsuntos!G18)-Datos!BE18)/Datos!BE18),((NºAsuntos!I18/NºAsuntos!G18)-Datos!BE18)/Datos!BE18," - ")</f>
        <v>0.2711839800234222</v>
      </c>
      <c r="J18" s="478">
        <f>IF(ISNUMBER((('Resol  Asuntos'!D18/NºAsuntos!G18)-Datos!BF18)/Datos!BF18),(('Resol  Asuntos'!D18/NºAsuntos!G18)-Datos!BF18)/Datos!BF18," - ")</f>
        <v>1.4199125973779214</v>
      </c>
      <c r="K18" s="479">
        <f>IF(ISNUMBER((((NºAsuntos!C18+NºAsuntos!E18)/NºAsuntos!G18)-Datos!BG18)/Datos!BG18),(((NºAsuntos!C18+NºAsuntos!E18)/NºAsuntos!G18)-Datos!BG18)/Datos!BG18," - ")</f>
        <v>0.14301363077831647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-7.3624595469255663E-2</v>
      </c>
      <c r="C20" s="1002">
        <f>IF(ISNUMBER(
   IF(Criterios!B14="SI",(Datos!J20-Datos!T20)/Datos!T20,(Datos!J20+Datos!AD20-(Datos!T20+Datos!AL20))/(Datos!T20+Datos!AL20))
     ),IF(Criterios!B14="SI",(Datos!J20-Datos!T20)/Datos!T20,(Datos!J20+Datos!AD20-(Datos!T20+Datos!AL20))/(Datos!T20+Datos!AL20))," - ")</f>
        <v>8.482261936516404E-2</v>
      </c>
      <c r="D20" s="1002">
        <f>IF(ISNUMBER(
   IF(Criterios!B14="SI",(Datos!K20-Datos!U20)/Datos!U20,(Datos!K20+Datos!AE20-(Datos!U20+Datos!AM20))/(Datos!U20+Datos!AM20))
     ),IF(Criterios!B14="SI",(Datos!K20-Datos!U20)/Datos!U20,(Datos!K20+Datos!AE20-(Datos!U20+Datos!AM20))/(Datos!U20+Datos!AM20))," - ")</f>
        <v>7.1392405063291142E-2</v>
      </c>
      <c r="E20" s="1002">
        <f>IF(ISNUMBER(
   IF(Criterios!B14="SI",(Datos!L20-Datos!V20)/Datos!V20,(Datos!L20+Datos!AF20-(Datos!V20+Datos!AN20))/(Datos!V20+Datos!AN20))
     ),IF(Criterios!B14="SI",(Datos!L20-Datos!V20)/Datos!V20,(Datos!L20+Datos!AF20-(Datos!V20+Datos!AN20))/(Datos!V20+Datos!AN20))," - ")</f>
        <v>-4.247787610619469E-2</v>
      </c>
      <c r="F20" s="1003">
        <f>IF(ISNUMBER((Datos!M20-Datos!W20)/Datos!W20),(Datos!M20-Datos!W20)/Datos!W20," - ")</f>
        <v>-7.7844311377245512E-2</v>
      </c>
      <c r="G20" s="1004">
        <f>IF(ISNUMBER((Datos!N20-Datos!X20)/Datos!X20),(Datos!N20-Datos!X20)/Datos!X20," - ")</f>
        <v>0.16945851188157382</v>
      </c>
      <c r="H20" s="1004">
        <f>IF(ISNUMBER(((NºAsuntos!G20/NºAsuntos!E20)-Datos!BD20)/Datos!BD20),((NºAsuntos!G20/NºAsuntos!E20)-Datos!BD20)/Datos!BD20," - ")</f>
        <v>-1.2380101651763321E-2</v>
      </c>
      <c r="I20" s="1004">
        <f>IF(ISNUMBER(((NºAsuntos!I20/NºAsuntos!G20)-Datos!BE20)/Datos!BE20),((NºAsuntos!I20/NºAsuntos!G20)-Datos!BE20)/Datos!BE20," - ")</f>
        <v>-0.10628251668702017</v>
      </c>
      <c r="J20" s="1004">
        <f>IF(ISNUMBER((('Resol  Asuntos'!D20/NºAsuntos!G20)-Datos!BF20)/Datos!BF20),(('Resol  Asuntos'!D20/NºAsuntos!G20)-Datos!BF20)/Datos!BF20," - ")</f>
        <v>-0.1392923038610869</v>
      </c>
      <c r="K20" s="1004">
        <f>IF(ISNUMBER((((NºAsuntos!C20+NºAsuntos!E20)/NºAsuntos!G20)-Datos!BG20)/Datos!BG20),(((NºAsuntos!C20+NºAsuntos!E20)/NºAsuntos!G20)-Datos!BG20)/Datos!BG20," - ")</f>
        <v>-4.6230463984267028E-2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-4.775900073475386E-3</v>
      </c>
      <c r="C21" s="949">
        <f>IF(ISNUMBER(
   IF(J_V="SI",(Datos!J21-Datos!T21)/Datos!T21,(Datos!J21+Datos!Z21-(Datos!T21+Datos!AH21))/(Datos!T21+Datos!AH21))
     ),IF(J_V="SI",(Datos!J21-Datos!T21)/Datos!T21,(Datos!J21+Datos!Z21-(Datos!T21+Datos!AH21))/(Datos!T21+Datos!AH21))," - ")</f>
        <v>0.12037037037037036</v>
      </c>
      <c r="D21" s="949">
        <f>IF(ISNUMBER(
   IF(J_V="SI",(Datos!K21-Datos!U21)/Datos!U21,(Datos!K21+Datos!AA21-(Datos!U21+Datos!AI21))/(Datos!U21+Datos!AI21))
     ),IF(J_V="SI",(Datos!K21-Datos!U21)/Datos!U21,(Datos!K21+Datos!AA21-(Datos!U21+Datos!AI21))/(Datos!U21+Datos!AI21))," - ")</f>
        <v>0.10718997361477572</v>
      </c>
      <c r="E21" s="949">
        <f>IF(ISNUMBER(
   IF(J_V="SI",(Datos!L21-Datos!V21)/Datos!V21,(Datos!L21+Datos!AB21-(Datos!V21+Datos!AJ21))/(Datos!V21+Datos!AJ21))
     ),IF(J_V="SI",(Datos!L21-Datos!V21)/Datos!V21,(Datos!L21+Datos!AB21-(Datos!V21+Datos!AJ21))/(Datos!V21+Datos!AJ21))," - ")</f>
        <v>8.2319695294262186E-3</v>
      </c>
      <c r="F21" s="950">
        <f>IF(ISNUMBER((Datos!M21-Datos!W21)/Datos!W21),(Datos!M21-Datos!W21)/Datos!W21," - ")</f>
        <v>0.11557788944723618</v>
      </c>
      <c r="G21" s="951">
        <f>IF(ISNUMBER((Datos!N21-Datos!X21)/Datos!X21),(Datos!N21-Datos!X21)/Datos!X21," - ")</f>
        <v>0.18403862539051405</v>
      </c>
      <c r="H21" s="952">
        <f>IF(ISNUMBER((Tasas!B21-Datos!BD21)/Datos!BD21),(Tasas!B21-Datos!BD21)/Datos!BD21," - ")</f>
        <v>-1.1764321071109229E-2</v>
      </c>
      <c r="I21" s="953">
        <f>IF(ISNUMBER((Tasas!C21-Datos!BE21)/Datos!BE21),(Tasas!C21-Datos!BE21)/Datos!BE21," - ")</f>
        <v>-8.9377619418164828E-2</v>
      </c>
      <c r="J21" s="954">
        <f>IF(ISNUMBER((Tasas!D21-Datos!BF21)/Datos!BF21),(Tasas!D21-Datos!BF21)/Datos!BF21," - ")</f>
        <v>-0.37633718174831182</v>
      </c>
      <c r="K21" s="954">
        <f>IF(ISNUMBER((Tasas!E21-Datos!BG21)/Datos!BG21),(Tasas!E21-Datos!BG21)/Datos!BG21," - ")</f>
        <v>-5.3032125350283274E-2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9cYgni+/moGLUGLDHu4EgilZIF72JsPRMcG5cgFfqBy0/JXja+EziZnzrvm/xV6D5YkMTxNxVBwLPjm9qMtcg==" saltValue="VMa+3hEHDNeNl1Nd7d0pZ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MALAGA</v>
      </c>
    </row>
    <row r="4" spans="1:7" ht="11.25" customHeight="1" thickBot="1">
      <c r="B4" s="403" t="str">
        <f>Criterios!A11 &amp;"  "&amp;Criterios!B11</f>
        <v>Resumenes por Partidos Judiciales  TORREMOLINOS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0.91174270755422593</v>
      </c>
      <c r="C9" s="460">
        <f>IF(ISNUMBER(NºAsuntos!I9/NºAsuntos!G9),NºAsuntos!I9/NºAsuntos!G9," - ")</f>
        <v>2.4278096800656277</v>
      </c>
      <c r="D9" s="461">
        <f>IF(ISNUMBER('Resol  Asuntos'!D9/NºAsuntos!G9),'Resol  Asuntos'!D9/NºAsuntos!G9," - ")</f>
        <v>0.22846595570139458</v>
      </c>
      <c r="E9" s="462">
        <f>IF(ISNUMBER((NºAsuntos!C9+NºAsuntos!E9)/NºAsuntos!G9),(NºAsuntos!C9+NºAsuntos!E9)/NºAsuntos!G9," - ")</f>
        <v>3.4368334700574241</v>
      </c>
      <c r="G9" s="480"/>
    </row>
    <row r="10" spans="1:7">
      <c r="A10" s="414" t="str">
        <f>Datos!A10</f>
        <v>Jdos. Violencia contra la mujer</v>
      </c>
      <c r="B10" s="459">
        <f>IF(ISNUMBER(NºAsuntos!G10/NºAsuntos!E10),NºAsuntos!G10/NºAsuntos!E10," - ")</f>
        <v>1.2571428571428571</v>
      </c>
      <c r="C10" s="460">
        <f>IF(ISNUMBER(NºAsuntos!I10/NºAsuntos!G10),NºAsuntos!I10/NºAsuntos!G10," - ")</f>
        <v>2.7954545454545454</v>
      </c>
      <c r="D10" s="461">
        <f>IF(ISNUMBER('Resol  Asuntos'!D10/NºAsuntos!G10),'Resol  Asuntos'!D10/NºAsuntos!G10," - ")</f>
        <v>0.52272727272727271</v>
      </c>
      <c r="E10" s="462">
        <f>IF(ISNUMBER((NºAsuntos!C10+NºAsuntos!E10)/NºAsuntos!G10),(NºAsuntos!C10+NºAsuntos!E10)/NºAsuntos!G10," - ")</f>
        <v>3.7954545454545454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0.91620524178663709</v>
      </c>
      <c r="C14" s="1006">
        <f>IF(ISNUMBER(NºAsuntos!I14/NºAsuntos!G14),NºAsuntos!I14/NºAsuntos!G14," - ")</f>
        <v>2.4343271555197421</v>
      </c>
      <c r="D14" s="1007">
        <f>IF(ISNUMBER('Resol  Asuntos'!D14/NºAsuntos!G14),'Resol  Asuntos'!D14/NºAsuntos!G14," - ")</f>
        <v>0.23368251410153101</v>
      </c>
      <c r="E14" s="1008">
        <f>IF(ISNUMBER((NºAsuntos!C14+NºAsuntos!E14)/NºAsuntos!G14),(NºAsuntos!C14+NºAsuntos!E14)/NºAsuntos!G14," - ")</f>
        <v>3.443190975020145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1.0394218134034166</v>
      </c>
      <c r="C16" s="460">
        <f>IF(ISNUMBER(NºAsuntos!I16/NºAsuntos!G16),NºAsuntos!I16/NºAsuntos!G16," - ")</f>
        <v>0.46371681415929206</v>
      </c>
      <c r="D16" s="461">
        <f>IF(ISNUMBER('Resol  Asuntos'!D16/NºAsuntos!G16),'Resol  Asuntos'!D16/NºAsuntos!G16," - ")</f>
        <v>6.9785082174462706E-2</v>
      </c>
      <c r="E16" s="462">
        <f>IF(ISNUMBER((NºAsuntos!C16+NºAsuntos!E16)/NºAsuntos!G16),(NºAsuntos!C16+NºAsuntos!E16)/NºAsuntos!G16," - ")</f>
        <v>1.4548672566371681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1.0572519083969465</v>
      </c>
      <c r="C18" s="460">
        <f>IF(ISNUMBER(NºAsuntos!I18/NºAsuntos!G18),NºAsuntos!I18/NºAsuntos!G18," - ")</f>
        <v>1.1913357400722022</v>
      </c>
      <c r="D18" s="461">
        <f>IF(ISNUMBER('Resol  Asuntos'!D18/NºAsuntos!G18),'Resol  Asuntos'!D18/NºAsuntos!G18," - ")</f>
        <v>0.11552346570397112</v>
      </c>
      <c r="E18" s="462">
        <f>IF(ISNUMBER((NºAsuntos!C18+NºAsuntos!E18)/NºAsuntos!G18),(NºAsuntos!C18+NºAsuntos!E18)/NºAsuntos!G18," - ")</f>
        <v>2.1768953068592056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1.040570445045488</v>
      </c>
      <c r="C20" s="1006">
        <f>IF(ISNUMBER(NºAsuntos!I20/NºAsuntos!G20),NºAsuntos!I20/NºAsuntos!G20," - ")</f>
        <v>0.51134215500945179</v>
      </c>
      <c r="D20" s="1009">
        <f>IF(ISNUMBER('Resol  Asuntos'!D20/NºAsuntos!G20),'Resol  Asuntos'!D20/NºAsuntos!G20," - ")</f>
        <v>7.2778827977315691E-2</v>
      </c>
      <c r="E20" s="1008">
        <f>IF(ISNUMBER((NºAsuntos!C20+NºAsuntos!E20)/NºAsuntos!G20),(NºAsuntos!C20+NºAsuntos!E20)/NºAsuntos!G20," - ")</f>
        <v>1.5021266540642721</v>
      </c>
      <c r="G20" s="480"/>
    </row>
    <row r="21" spans="1:7" ht="15.75" customHeight="1" thickTop="1" thickBot="1">
      <c r="A21" s="940" t="str">
        <f>Datos!A21</f>
        <v>TOTAL JURISDICCIONES</v>
      </c>
      <c r="B21" s="955">
        <f>IF(ISNUMBER(NºAsuntos!G21/NºAsuntos!E21),NºAsuntos!G21/NºAsuntos!E21," - ")</f>
        <v>0.99085005903187717</v>
      </c>
      <c r="C21" s="956">
        <f>IF(ISNUMBER(NºAsuntos!I21/NºAsuntos!G21),NºAsuntos!I21/NºAsuntos!G21," - ")</f>
        <v>1.2222222222222223</v>
      </c>
      <c r="D21" s="957">
        <f>IF(ISNUMBER('Resol  Asuntos'!D21/NºAsuntos!G21),'Resol  Asuntos'!D21/NºAsuntos!G21," - ")</f>
        <v>0.13226094727435209</v>
      </c>
      <c r="E21" s="958">
        <f>IF(ISNUMBER((NºAsuntos!C21+NºAsuntos!E21)/NºAsuntos!G21),(NºAsuntos!C21+NºAsuntos!E21)/NºAsuntos!G21," - ")</f>
        <v>2.2196901995829608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tYYkYuCki7AMrZjeQJ8+XAW12452mCAGfpJE2CIqDV3PX+CQButK0Ra/swXzBgPDQrxB7VgOsabqcWEgLv9qg==" saltValue="JQFTWDMC1uo+2fpYCHwA6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MALAGA</v>
      </c>
      <c r="N2" s="339" t="str">
        <f>Criterios!A11 &amp;"  "&amp;Criterios!B11</f>
        <v>Resumenes por Partidos Judiciales  TORREMOLINOS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509</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277</v>
      </c>
      <c r="Y9" s="344">
        <f>SUM(W9:X9)</f>
        <v>277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6790</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557</v>
      </c>
      <c r="AJ9" s="234" t="str">
        <f>IF(ISNUMBER(Datos!BW9),Datos!BW9," - ")</f>
        <v xml:space="preserve"> - </v>
      </c>
      <c r="AK9" s="233" t="str">
        <f>IF(ISNUMBER(Datos!BX9),Datos!BX9," - ")</f>
        <v xml:space="preserve"> - </v>
      </c>
      <c r="AL9" s="248">
        <f>IF(ISNUMBER(NºAsuntos!G9/NºAsuntos!E9),NºAsuntos!G9/NºAsuntos!E9," - ")</f>
        <v>0.91174270755422593</v>
      </c>
      <c r="AM9" s="265">
        <f>IF(ISNUMBER(((NºAsuntos!I9/NºAsuntos!G9)*11)/factor_trimestre),((NºAsuntos!I9/NºAsuntos!G9)*11)/factor_trimestre," - ")</f>
        <v>7.2834290401968831</v>
      </c>
      <c r="AN9" s="249">
        <f>IF(ISNUMBER('Resol  Asuntos'!D9/NºAsuntos!G9),'Resol  Asuntos'!D9/NºAsuntos!G9," - ")</f>
        <v>0.22846595570139458</v>
      </c>
      <c r="AO9" s="250">
        <f>IF(ISNUMBER((NºAsuntos!C9+NºAsuntos!E9)/NºAsuntos!G9),(NºAsuntos!C9+NºAsuntos!E9)/NºAsuntos!G9," - ")</f>
        <v>3.4368334700574241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132</v>
      </c>
      <c r="G10" s="343">
        <f>IF(ISNUMBER(Datos!I10),Datos!I10," - ")</f>
        <v>132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44</v>
      </c>
      <c r="X10" s="231">
        <f>IF(ISNUMBER(Datos!Q10),Datos!Q10," - ")</f>
        <v>0</v>
      </c>
      <c r="Y10" s="344">
        <f t="shared" ref="Y10:Y13" si="0">SUM(W10:X10)</f>
        <v>44</v>
      </c>
      <c r="Z10" s="345" t="str">
        <f>IF(ISNUMBER(Datos!CC10),Datos!CC10," - ")</f>
        <v xml:space="preserve"> - </v>
      </c>
      <c r="AA10" s="342">
        <f>IF(ISNUMBER(Datos!L10),Datos!L10,"-")</f>
        <v>123</v>
      </c>
      <c r="AB10" s="344">
        <f>IF(ISNUMBER(Datos!R10),Datos!R10," - ")</f>
        <v>73</v>
      </c>
      <c r="AC10" s="344">
        <f t="shared" ref="AC10:AC13" si="1">IF(ISNUMBER(AA10+AB10),AA10+AB10," - ")</f>
        <v>196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23</v>
      </c>
      <c r="AJ10" s="236" t="str">
        <f>IF(ISNUMBER(Datos!BW10),Datos!BW10," - ")</f>
        <v xml:space="preserve"> - </v>
      </c>
      <c r="AK10" s="237" t="str">
        <f>IF(ISNUMBER(Datos!BX10),Datos!BX10," - ")</f>
        <v xml:space="preserve"> - </v>
      </c>
      <c r="AL10" s="248">
        <f>IF(ISNUMBER(NºAsuntos!G10/NºAsuntos!E10),NºAsuntos!G10/NºAsuntos!E10," - ")</f>
        <v>1.2571428571428571</v>
      </c>
      <c r="AM10" s="265">
        <f>IF(ISNUMBER(((NºAsuntos!I10/NºAsuntos!G10)*11)/factor_trimestre),((NºAsuntos!I10/NºAsuntos!G10)*11)/factor_trimestre," - ")</f>
        <v>8.3863636363636367</v>
      </c>
      <c r="AN10" s="249">
        <f>IF(ISNUMBER('Resol  Asuntos'!D10/NºAsuntos!G10),'Resol  Asuntos'!D10/NºAsuntos!G10," - ")</f>
        <v>0.52272727272727271</v>
      </c>
      <c r="AO10" s="250">
        <f>IF(ISNUMBER((NºAsuntos!C10+NºAsuntos!E10)/NºAsuntos!G10),(NºAsuntos!C10+NºAsuntos!E10)/NºAsuntos!G10," - ")</f>
        <v>3.7954545454545454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132</v>
      </c>
      <c r="G14" s="1013">
        <f t="shared" si="5"/>
        <v>132</v>
      </c>
      <c r="H14" s="1012">
        <f t="shared" si="5"/>
        <v>0</v>
      </c>
      <c r="I14" s="1014">
        <f t="shared" si="5"/>
        <v>0</v>
      </c>
      <c r="J14" s="1014">
        <f t="shared" si="5"/>
        <v>0</v>
      </c>
      <c r="K14" s="1014">
        <f t="shared" si="5"/>
        <v>0</v>
      </c>
      <c r="L14" s="1014">
        <f t="shared" si="5"/>
        <v>517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44</v>
      </c>
      <c r="X14" s="1014">
        <f t="shared" si="6"/>
        <v>277</v>
      </c>
      <c r="Y14" s="1015">
        <f t="shared" si="6"/>
        <v>321</v>
      </c>
      <c r="Z14" s="1015">
        <f t="shared" si="6"/>
        <v>0</v>
      </c>
      <c r="AA14" s="1015">
        <f t="shared" si="6"/>
        <v>123</v>
      </c>
      <c r="AB14" s="1015">
        <f t="shared" si="6"/>
        <v>6863</v>
      </c>
      <c r="AC14" s="1015">
        <f t="shared" si="6"/>
        <v>196</v>
      </c>
      <c r="AD14" s="1015">
        <f t="shared" si="6"/>
        <v>0</v>
      </c>
      <c r="AE14" s="1019">
        <f t="shared" si="6"/>
        <v>0</v>
      </c>
      <c r="AF14" s="1012">
        <f t="shared" si="6"/>
        <v>0</v>
      </c>
      <c r="AG14" s="1020">
        <f t="shared" si="6"/>
        <v>0</v>
      </c>
      <c r="AH14" s="1017">
        <f t="shared" si="6"/>
        <v>0</v>
      </c>
      <c r="AI14" s="1012">
        <f t="shared" si="6"/>
        <v>580</v>
      </c>
      <c r="AJ14" s="1014">
        <f t="shared" si="6"/>
        <v>0</v>
      </c>
      <c r="AK14" s="1017">
        <f>SUBTOTAL(9,AK9:AK13)</f>
        <v>0</v>
      </c>
      <c r="AL14" s="1021">
        <f>IF(ISNUMBER(NºAsuntos!G14/NºAsuntos!E14),NºAsuntos!G14/NºAsuntos!E14," - ")</f>
        <v>0.91620524178663709</v>
      </c>
      <c r="AM14" s="1021">
        <f>IF(ISNUMBER(((NºAsuntos!I14/NºAsuntos!G14)*11)/factor_trimestre),((NºAsuntos!I14/NºAsuntos!G14)*11)/factor_trimestre," - ")</f>
        <v>7.3029814665592268</v>
      </c>
      <c r="AN14" s="1022">
        <f>IF(ISNUMBER('Resol  Asuntos'!D14/NºAsuntos!G14),'Resol  Asuntos'!D14/NºAsuntos!G14," - ")</f>
        <v>0.23368251410153101</v>
      </c>
      <c r="AO14" s="1023">
        <f>IF(ISNUMBER((NºAsuntos!C14+NºAsuntos!E14)/NºAsuntos!G14),(NºAsuntos!C14+NºAsuntos!E14)/NºAsuntos!G14," - ")</f>
        <v>3.443190975020145</v>
      </c>
      <c r="AP14" s="1024" t="str">
        <f t="shared" si="2"/>
        <v xml:space="preserve"> - </v>
      </c>
      <c r="AQ14" s="1024">
        <f>IF(ISNUMBER((H14-W14+K14)/(F14)),(H14-W14+K14)/(F14)," - ")</f>
        <v>-0.33333333333333331</v>
      </c>
      <c r="AR14" s="1025">
        <f>IF(ISNUMBER((Datos!P14-Datos!Q14)/(Datos!R14-Datos!P14+Datos!Q14)),(Datos!P14-Datos!Q14)/(Datos!R14-Datos!P14+Datos!Q14)," - ")</f>
        <v>3.623735467310886E-2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1984</v>
      </c>
      <c r="G16" s="343">
        <f>IF(ISNUMBER(IF(D_I="SI",Datos!I16,Datos!I16+Datos!AC16)),IF(D_I="SI",Datos!I16,Datos!I16+Datos!AC16)," - ")</f>
        <v>1949</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71</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3955</v>
      </c>
      <c r="X16" s="231">
        <f>IF(ISNUMBER(Datos!Q16),Datos!Q16," - ")</f>
        <v>48</v>
      </c>
      <c r="Y16" s="344">
        <f>SUM(W16)</f>
        <v>3955</v>
      </c>
      <c r="Z16" s="345" t="str">
        <f>IF(ISNUMBER(Datos!CC16),Datos!CC16," - ")</f>
        <v xml:space="preserve"> - </v>
      </c>
      <c r="AA16" s="342">
        <f>IF(ISNUMBER(IF(D_I="SI",Datos!L16,Datos!L16+Datos!AF16)),IF(D_I="SI",Datos!L16,Datos!L16+Datos!AF16)," - ")</f>
        <v>1834</v>
      </c>
      <c r="AB16" s="344">
        <f>IF(ISNUMBER(Datos!R16),Datos!R16," - ")</f>
        <v>217</v>
      </c>
      <c r="AC16" s="344">
        <f t="shared" ref="AC16:AC19" si="8">IF(ISNUMBER(AA16+AB16),AA16+AB16," - ")</f>
        <v>2051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276</v>
      </c>
      <c r="AJ16" s="236" t="str">
        <f>IF(ISNUMBER(Datos!BW16),Datos!BW16," - ")</f>
        <v xml:space="preserve"> - </v>
      </c>
      <c r="AK16" s="237" t="str">
        <f>IF(ISNUMBER(Datos!BX16),Datos!BX16," - ")</f>
        <v xml:space="preserve"> - </v>
      </c>
      <c r="AL16" s="248">
        <f>IF(ISNUMBER(NºAsuntos!G16/NºAsuntos!E16),NºAsuntos!G16/NºAsuntos!E16," - ")</f>
        <v>1.0394218134034166</v>
      </c>
      <c r="AM16" s="265">
        <f>IF(ISNUMBER(((NºAsuntos!I16/NºAsuntos!G16)*11)/factor_trimestre),((NºAsuntos!I16/NºAsuntos!G16)*11)/factor_trimestre," - ")</f>
        <v>1.3911504424778762</v>
      </c>
      <c r="AN16" s="249">
        <f>IF(ISNUMBER('Resol  Asuntos'!D16/NºAsuntos!G16),'Resol  Asuntos'!D16/NºAsuntos!G16," - ")</f>
        <v>6.9785082174462706E-2</v>
      </c>
      <c r="AO16" s="250">
        <f>IF(ISNUMBER((NºAsuntos!C16+NºAsuntos!E16)/NºAsuntos!G16),(NºAsuntos!C16+NºAsuntos!E16)/NºAsuntos!G16," - ")</f>
        <v>1.4548672566371681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341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277</v>
      </c>
      <c r="X18" s="231">
        <f>IF(ISNUMBER(Datos!Q18),Datos!Q18," - ")</f>
        <v>0</v>
      </c>
      <c r="Y18" s="344">
        <f t="shared" si="9"/>
        <v>277</v>
      </c>
      <c r="Z18" s="345" t="str">
        <f>IF(ISNUMBER(Datos!CC18),Datos!CC18," - ")</f>
        <v xml:space="preserve"> - </v>
      </c>
      <c r="AA18" s="342">
        <f>IF(ISNUMBER(Datos!L18),Datos!L18,"-")</f>
        <v>330</v>
      </c>
      <c r="AB18" s="344">
        <f>IF(ISNUMBER(Datos!R18),Datos!R18," - ")</f>
        <v>5</v>
      </c>
      <c r="AC18" s="344">
        <f t="shared" si="8"/>
        <v>335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32</v>
      </c>
      <c r="AJ18" s="236" t="str">
        <f>IF(ISNUMBER(Datos!BW18),Datos!BW18," - ")</f>
        <v xml:space="preserve"> - </v>
      </c>
      <c r="AK18" s="237" t="str">
        <f>IF(ISNUMBER(Datos!BX18),Datos!BX18," - ")</f>
        <v xml:space="preserve"> - </v>
      </c>
      <c r="AL18" s="248">
        <f>IF(ISNUMBER(NºAsuntos!G18/NºAsuntos!E18),NºAsuntos!G18/NºAsuntos!E18," - ")</f>
        <v>1.0572519083969465</v>
      </c>
      <c r="AM18" s="265">
        <f>IF(ISNUMBER(((NºAsuntos!I18/NºAsuntos!G18)*11)/factor_trimestre),((NºAsuntos!I18/NºAsuntos!G18)*11)/factor_trimestre," - ")</f>
        <v>3.5740072202166071</v>
      </c>
      <c r="AN18" s="249">
        <f>IF(ISNUMBER('Resol  Asuntos'!D18/NºAsuntos!G18),'Resol  Asuntos'!D18/NºAsuntos!G18," - ")</f>
        <v>0.11552346570397112</v>
      </c>
      <c r="AO18" s="250">
        <f>IF(ISNUMBER((NºAsuntos!C18+NºAsuntos!E18)/NºAsuntos!G18),(NºAsuntos!C18+NºAsuntos!E18)/NºAsuntos!G18," - ")</f>
        <v>2.1768953068592056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1984</v>
      </c>
      <c r="G20" s="1013">
        <f>SUBTOTAL(9,G16:G19)</f>
        <v>2290</v>
      </c>
      <c r="H20" s="1012">
        <f t="shared" ref="H20:O20" si="12">SUBTOTAL(9,H15:H19)</f>
        <v>0</v>
      </c>
      <c r="I20" s="1014">
        <f t="shared" si="12"/>
        <v>0</v>
      </c>
      <c r="J20" s="1014">
        <f t="shared" si="12"/>
        <v>0</v>
      </c>
      <c r="K20" s="1014">
        <f t="shared" si="12"/>
        <v>0</v>
      </c>
      <c r="L20" s="1014">
        <f t="shared" si="12"/>
        <v>72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4232</v>
      </c>
      <c r="X20" s="1014">
        <f t="shared" si="13"/>
        <v>48</v>
      </c>
      <c r="Y20" s="1015">
        <f t="shared" si="13"/>
        <v>4232</v>
      </c>
      <c r="Z20" s="1015">
        <f t="shared" si="13"/>
        <v>0</v>
      </c>
      <c r="AA20" s="1015">
        <f t="shared" si="13"/>
        <v>2164</v>
      </c>
      <c r="AB20" s="1015">
        <f t="shared" si="13"/>
        <v>222</v>
      </c>
      <c r="AC20" s="1015">
        <f t="shared" si="13"/>
        <v>2386</v>
      </c>
      <c r="AD20" s="1015">
        <f t="shared" si="13"/>
        <v>0</v>
      </c>
      <c r="AE20" s="1019">
        <f t="shared" si="13"/>
        <v>0</v>
      </c>
      <c r="AF20" s="1012">
        <f t="shared" si="13"/>
        <v>0</v>
      </c>
      <c r="AG20" s="1020">
        <f t="shared" si="13"/>
        <v>0</v>
      </c>
      <c r="AH20" s="1017">
        <f t="shared" si="13"/>
        <v>0</v>
      </c>
      <c r="AI20" s="1012">
        <f t="shared" si="13"/>
        <v>308</v>
      </c>
      <c r="AJ20" s="1014">
        <f t="shared" si="13"/>
        <v>0</v>
      </c>
      <c r="AK20" s="1017">
        <f t="shared" si="13"/>
        <v>0</v>
      </c>
      <c r="AL20" s="1021">
        <f>IF(ISNUMBER(NºAsuntos!G20/NºAsuntos!E20),NºAsuntos!G20/NºAsuntos!E20," - ")</f>
        <v>1.040570445045488</v>
      </c>
      <c r="AM20" s="1021">
        <f>IF(ISNUMBER(((NºAsuntos!I20/NºAsuntos!G20)*11)/factor_trimestre),((NºAsuntos!I20/NºAsuntos!G20)*11)/factor_trimestre," - ")</f>
        <v>1.5340264650283555</v>
      </c>
      <c r="AN20" s="1022">
        <f>IF(ISNUMBER('Resol  Asuntos'!D20/NºAsuntos!G20),'Resol  Asuntos'!D20/NºAsuntos!G20," - ")</f>
        <v>7.2778827977315691E-2</v>
      </c>
      <c r="AO20" s="1023">
        <f>IF(ISNUMBER((NºAsuntos!C20+NºAsuntos!E20)/NºAsuntos!G20),(NºAsuntos!C20+NºAsuntos!E20)/NºAsuntos!G20," - ")</f>
        <v>1.5021266540642721</v>
      </c>
      <c r="AP20" s="1024" t="str">
        <f t="shared" si="2"/>
        <v xml:space="preserve"> - </v>
      </c>
      <c r="AQ20" s="1024">
        <f>IF(ISNUMBER((H20-W20+K20)/(F20)),(H20-W20+K20)/(F20)," - ")</f>
        <v>-2.1330645161290325</v>
      </c>
      <c r="AR20" s="1025">
        <f>IF(ISNUMBER((Datos!P20-Datos!Q20)/(Datos!R20-Datos!P20+Datos!Q20)),(Datos!P20-Datos!Q20)/(Datos!R20-Datos!P20+Datos!Q20)," - ")</f>
        <v>0.12121212121212122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2116</v>
      </c>
      <c r="G21" s="968">
        <f t="shared" si="15"/>
        <v>2422</v>
      </c>
      <c r="H21" s="967">
        <f t="shared" si="15"/>
        <v>0</v>
      </c>
      <c r="I21" s="969">
        <f t="shared" si="15"/>
        <v>0</v>
      </c>
      <c r="J21" s="969">
        <f t="shared" si="15"/>
        <v>0</v>
      </c>
      <c r="K21" s="1028">
        <f t="shared" si="15"/>
        <v>0</v>
      </c>
      <c r="L21" s="969">
        <f t="shared" si="15"/>
        <v>589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4276</v>
      </c>
      <c r="X21" s="968">
        <f t="shared" si="16"/>
        <v>325</v>
      </c>
      <c r="Y21" s="975">
        <f t="shared" si="16"/>
        <v>4553</v>
      </c>
      <c r="Z21" s="975">
        <f t="shared" si="16"/>
        <v>0</v>
      </c>
      <c r="AA21" s="975">
        <f t="shared" si="16"/>
        <v>2287</v>
      </c>
      <c r="AB21" s="975">
        <f t="shared" si="16"/>
        <v>7085</v>
      </c>
      <c r="AC21" s="975">
        <f t="shared" si="16"/>
        <v>2582</v>
      </c>
      <c r="AD21" s="975">
        <f t="shared" si="16"/>
        <v>0</v>
      </c>
      <c r="AE21" s="977">
        <f t="shared" si="16"/>
        <v>0</v>
      </c>
      <c r="AF21" s="978">
        <f t="shared" si="16"/>
        <v>0</v>
      </c>
      <c r="AG21" s="979">
        <f t="shared" si="16"/>
        <v>0</v>
      </c>
      <c r="AH21" s="977">
        <f t="shared" si="16"/>
        <v>0</v>
      </c>
      <c r="AI21" s="967">
        <f t="shared" si="16"/>
        <v>888</v>
      </c>
      <c r="AJ21" s="967">
        <f t="shared" si="16"/>
        <v>0</v>
      </c>
      <c r="AK21" s="977">
        <f t="shared" si="16"/>
        <v>0</v>
      </c>
      <c r="AL21" s="1031">
        <f>IF(ISNUMBER(NºAsuntos!G21/NºAsuntos!E21),NºAsuntos!G21/NºAsuntos!E21," - ")</f>
        <v>0.99085005903187717</v>
      </c>
      <c r="AM21" s="1032">
        <f>IF(ISNUMBER(((NºAsuntos!I21/NºAsuntos!G21)*11)/factor_trimestre),((NºAsuntos!I21/NºAsuntos!G21)*11)/factor_trimestre," - ")</f>
        <v>3.6666666666666674</v>
      </c>
      <c r="AN21" s="1032">
        <f>IF(ISNUMBER('Resol  Asuntos'!D21/NºAsuntos!G21),'Resol  Asuntos'!D21/NºAsuntos!G21," - ")</f>
        <v>0.13226094727435209</v>
      </c>
      <c r="AO21" s="1033">
        <f>IF(ISNUMBER((NºAsuntos!C21+NºAsuntos!E21)/NºAsuntos!G21),(NºAsuntos!C21+NºAsuntos!E21)/NºAsuntos!G21," - ")</f>
        <v>2.2196901995829608</v>
      </c>
      <c r="AP21" s="1034" t="str">
        <f t="shared" si="2"/>
        <v xml:space="preserve"> - </v>
      </c>
      <c r="AQ21" s="1035">
        <f>IF(OR(ISNUMBER(FIND("01",Criterios!A8,1)),ISNUMBER(FIND("02",Criterios!A8,1)),ISNUMBER(FIND("03",Criterios!A8,1)),ISNUMBER(FIND("04",Criterios!A8,1))),(I21-W21+K21)/(F21-K21),(H21-W21+K21)/(F21-K21))</f>
        <v>-2.0207939508506616</v>
      </c>
      <c r="AR21" s="1036">
        <f>IF(ISNUMBER((Datos!P21-Datos!Q21)/(Datos!R21-Datos!P21+Datos!Q21)),(Datos!P21-Datos!Q21)/(Datos!R21-Datos!P21+Datos!Q21)," - ")</f>
        <v>3.8704002345697111E-2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968.8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1069.2526985391869</v>
      </c>
      <c r="G23" s="258">
        <f>IF(ISNUMBER(STDEV(G8:G20)),STDEV(G8:G20),"-")</f>
        <v>1060.7736327793975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2179.742484790348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242.29981427974724</v>
      </c>
      <c r="AJ23" s="257">
        <f t="shared" si="20"/>
        <v>0</v>
      </c>
      <c r="AK23" s="259">
        <f t="shared" si="20"/>
        <v>0</v>
      </c>
      <c r="AL23" s="254">
        <f t="shared" si="20"/>
        <v>0.12583511022302651</v>
      </c>
      <c r="AM23" s="255">
        <f t="shared" si="20"/>
        <v>3.1307820822260881</v>
      </c>
      <c r="AN23" s="255">
        <f t="shared" si="20"/>
        <v>0.17091957932143087</v>
      </c>
      <c r="AO23" s="256">
        <f t="shared" si="20"/>
        <v>1.0515454789131988</v>
      </c>
      <c r="AP23" s="296" t="str">
        <f t="shared" si="20"/>
        <v>-</v>
      </c>
      <c r="AQ23" s="297">
        <f t="shared" si="20"/>
        <v>1.2726021236677247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y+h6DQEoxYQeJ6vFjp4MZQ9fkLSb/C/zrC03ePBVLnvYoRz9DsOAjU4S6P4QWfJjJ48vA0Wwl3uHIlfRnh4YKA==" saltValue="DhZjAu0bf/1YdiM22TJ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MALAGA</v>
      </c>
      <c r="E3" s="268"/>
    </row>
    <row r="4" spans="2:20" ht="17.25" customHeight="1" thickBot="1">
      <c r="D4" s="267" t="str">
        <f>Criterios!A11 &amp;"  "&amp;Criterios!B11</f>
        <v>Resumenes por Partidos Judiciales  TORREMOLINOS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0.21350762527233116</v>
      </c>
      <c r="I9" s="360">
        <f>IF(ISNUMBER((Tasas!C9-Datos!BE9)/Datos!BE9),(Tasas!C9-Datos!BE9)/Datos!BE9," - ")</f>
        <v>-0.11608254368316817</v>
      </c>
      <c r="J9" s="359">
        <f>IF(ISNUMBER((Tasas!D9-Datos!BF9)/Datos!BF9),(Tasas!D9-Datos!BF9)/Datos!BF9," - ")</f>
        <v>-0.4973267486780697</v>
      </c>
      <c r="K9" s="361">
        <f>IF(ISNUMBER((Tasas!E9-Datos!BG9)/Datos!BG9),(Tasas!E9-Datos!BG9)/Datos!BG9," - ")</f>
        <v>-8.2691002750875431E-2</v>
      </c>
      <c r="M9" t="e">
        <f>IF(Monitorios="SI",Datos!CE9,0)</f>
        <v>#REF!</v>
      </c>
      <c r="N9" t="e">
        <f>IF(Monitorios="SI",Datos!CF9,0)</f>
        <v>#REF!</v>
      </c>
      <c r="O9" t="e">
        <f>IF(Monitorios="SI",Datos!CG9,0)</f>
        <v>#REF!</v>
      </c>
      <c r="P9" t="e">
        <f>IF(Monitorios="SI",Datos!CH9,0)</f>
        <v>#REF!</v>
      </c>
      <c r="Q9">
        <f>IF(J_V="SI",0,Datos!AG9)</f>
        <v>169</v>
      </c>
      <c r="R9">
        <f>IF(J_V="SI",0,Datos!AH9)</f>
        <v>210</v>
      </c>
      <c r="S9">
        <f>IF(J_V="SI",0,Datos!AI9)</f>
        <v>196</v>
      </c>
      <c r="T9">
        <f>IF(J_V="SI",0,Datos!AJ9)</f>
        <v>170</v>
      </c>
    </row>
    <row r="10" spans="2:20" ht="14.25">
      <c r="B10" s="280" t="s">
        <v>273</v>
      </c>
      <c r="C10" s="7" t="str">
        <f>Datos!A10</f>
        <v>Jdos. Violencia contra la mujer</v>
      </c>
      <c r="D10" s="362">
        <f>IF(ISNUMBER((Datos!I10-Datos!S10)/Datos!S10),(Datos!I10-Datos!S10)/Datos!S10," - ")</f>
        <v>4.7619047619047616E-2</v>
      </c>
      <c r="E10" s="358">
        <f>IF(ISNUMBER((Datos!J10-Datos!T10)/Datos!T10),(Datos!J10-Datos!T10)/Datos!T10," - ")</f>
        <v>-0.20454545454545456</v>
      </c>
      <c r="F10" s="358">
        <f>IF(ISNUMBER((Datos!K10-Datos!U10)/Datos!U10),(Datos!K10-Datos!U10)/Datos!U10," - ")</f>
        <v>0.69230769230769229</v>
      </c>
      <c r="G10" s="359">
        <f>IF(ISNUMBER((Datos!L10-Datos!V10)/Datos!V10),(Datos!L10-Datos!V10)/Datos!V10," - ")</f>
        <v>-0.14583333333333334</v>
      </c>
      <c r="H10" s="235">
        <f>IF(ISNUMBER((Datos!M10-Datos!W10)/Datos!W10),(Datos!M10-Datos!W10)/Datos!W10," - ")</f>
        <v>6.666666666666667</v>
      </c>
      <c r="I10" s="360">
        <f>IF(ISNUMBER((Tasas!C10-Datos!BE10)/Datos!BE10),(Tasas!C10-Datos!BE10)/Datos!BE10," - ")</f>
        <v>-0.49526515151515149</v>
      </c>
      <c r="J10" s="359">
        <f>IF(ISNUMBER((Tasas!D10-Datos!BF10)/Datos!BF10),(Tasas!D10-Datos!BF10)/Datos!BF10," - ")</f>
        <v>3.5303030303030298</v>
      </c>
      <c r="K10" s="361">
        <f>IF(ISNUMBER((Tasas!E10-Datos!BG10)/Datos!BG10),(Tasas!E10-Datos!BG10)/Datos!BG10," - ")</f>
        <v>-0.41951871657754009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0.25541125541125542</v>
      </c>
      <c r="I14" s="367">
        <f>IF(ISNUMBER((Tasas!C14-Datos!BE14)/Datos!BE14),(Tasas!C14-Datos!BE14)/Datos!BE14," - ")</f>
        <v>-0.12465255880783555</v>
      </c>
      <c r="J14" s="365">
        <f>IF(ISNUMBER((Tasas!D14-Datos!BF14)/Datos!BF14),(Tasas!D14-Datos!BF14)/Datos!BF14," - ")</f>
        <v>-0.48108735839218852</v>
      </c>
      <c r="K14" s="368">
        <f>IF(ISNUMBER((Tasas!E14-Datos!BG14)/Datos!BG14),(Tasas!E14-Datos!BG14)/Datos!BG14," - ")</f>
        <v>-8.9339957313576052E-2</v>
      </c>
      <c r="M14" t="e">
        <f>IF(Monitorios="SI",Datos!CE14,0)</f>
        <v>#REF!</v>
      </c>
      <c r="N14" t="e">
        <f>IF(Monitorios="SI",Datos!CF14,0)</f>
        <v>#REF!</v>
      </c>
      <c r="O14" t="e">
        <f>IF(Monitorios="SI",Datos!CG14,0)</f>
        <v>#REF!</v>
      </c>
      <c r="P14" t="e">
        <f>IF(Monitorios="SI",Datos!CH14,0)</f>
        <v>#REF!</v>
      </c>
      <c r="Q14">
        <f>IF(J_V="SI",0,Datos!AG14)</f>
        <v>169</v>
      </c>
      <c r="R14">
        <f>IF(J_V="SI",0,Datos!AH14)</f>
        <v>210</v>
      </c>
      <c r="S14">
        <f>IF(J_V="SI",0,Datos!AI14)</f>
        <v>196</v>
      </c>
      <c r="T14">
        <f>IF(J_V="SI",0,Datos!AJ14)</f>
        <v>170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-6.0722891566265064E-2</v>
      </c>
      <c r="E16" s="358">
        <f>IF(ISNUMBER(
   IF(D_I="SI",(Datos!J16-Datos!T16)/Datos!T16,(Datos!J16+Datos!AD16-(Datos!T16+Datos!AL16))/(Datos!T16+Datos!AL16))
     ),IF(D_I="SI",(Datos!J16-Datos!T16)/Datos!T16,(Datos!J16+Datos!AD16-(Datos!T16+Datos!AL16))/(Datos!T16+Datos!AL16))," - ")</f>
        <v>0.1230814639905549</v>
      </c>
      <c r="F16" s="358">
        <f>IF(ISNUMBER(
   IF(D_I="SI",(Datos!K16-Datos!U16)/Datos!U16,(Datos!K16+Datos!AE16-(Datos!U16+Datos!AM16))/(Datos!U16+Datos!AM16))
     ),IF(D_I="SI",(Datos!K16-Datos!U16)/Datos!U16,(Datos!K16+Datos!AE16-(Datos!U16+Datos!AM16))/(Datos!U16+Datos!AM16))," - ")</f>
        <v>0.11345720720720721</v>
      </c>
      <c r="G16" s="359">
        <f>IF(ISNUMBER(
   IF(D_I="SI",(Datos!L16-Datos!V16)/Datos!V16,(Datos!L16+Datos!AF16-(Datos!V16+Datos!AN16))/(Datos!V16+Datos!AN16))
     ),IF(D_I="SI",(Datos!L16-Datos!V16)/Datos!V16,(Datos!L16+Datos!AF16-(Datos!V16+Datos!AN16))/(Datos!V16+Datos!AN16))," - ")</f>
        <v>-2.8086910439851617E-2</v>
      </c>
      <c r="H16" s="235">
        <f>IF(ISNUMBER((Datos!M16-Datos!W16)/Datos!W16),(Datos!M16-Datos!W16)/Datos!W16," - ")</f>
        <v>-0.12380952380952381</v>
      </c>
      <c r="I16" s="360">
        <f>IF(ISNUMBER((Tasas!C16-Datos!BE16)/Datos!BE16),(Tasas!C16-Datos!BE16)/Datos!BE16," - ")</f>
        <v>-0.12712129099427377</v>
      </c>
      <c r="J16" s="359">
        <f>IF(ISNUMBER((Tasas!D16-Datos!BF16)/Datos!BF16),(Tasas!D16-Datos!BF16)/Datos!BF16," - ")</f>
        <v>-0.21309012100415384</v>
      </c>
      <c r="K16" s="361">
        <f>IF(ISNUMBER((Tasas!E16-Datos!BG16)/Datos!BG16),(Tasas!E16-Datos!BG16)/Datos!BG16," - ")</f>
        <v>-5.4056654663148282E-2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-0.14105793450881612</v>
      </c>
      <c r="E18" s="358">
        <f>IF(ISNUMBER(
   IF(D_I="SI",(Datos!J18-Datos!T18)/Datos!T18,(Datos!J18+Datos!AD18-(Datos!T18+Datos!AL18))/(Datos!T18+Datos!AL18))
     ),IF(D_I="SI",(Datos!J18-Datos!T18)/Datos!T18,(Datos!J18+Datos!AD18-(Datos!T18+Datos!AL18))/(Datos!T18+Datos!AL18))," - ")</f>
        <v>-0.2742382271468144</v>
      </c>
      <c r="F18" s="358">
        <f>IF(ISNUMBER(
   IF(D_I="SI",(Datos!K18-Datos!U18)/Datos!U18,(Datos!K18+Datos!AE18-(Datos!U18+Datos!AM18))/(Datos!U18+Datos!AM18))
     ),IF(D_I="SI",(Datos!K18-Datos!U18)/Datos!U18,(Datos!K18+Datos!AE18-(Datos!U18+Datos!AM18))/(Datos!U18+Datos!AM18))," - ")</f>
        <v>-0.30402010050251255</v>
      </c>
      <c r="G18" s="359">
        <f>IF(ISNUMBER(
   IF(D_I="SI",(Datos!L18-Datos!V18)/Datos!V18,(Datos!L18+Datos!AF18-(Datos!V18+Datos!AN18))/(Datos!V18+Datos!AN18))
     ),IF(D_I="SI",(Datos!L18-Datos!V18)/Datos!V18,(Datos!L18+Datos!AF18-(Datos!V18+Datos!AN18))/(Datos!V18+Datos!AN18))," - ")</f>
        <v>-0.11528150134048257</v>
      </c>
      <c r="H18" s="235">
        <f>IF(ISNUMBER((Datos!M18-Datos!W18)/Datos!W18),(Datos!M18-Datos!W18)/Datos!W18," - ")</f>
        <v>0.68421052631578949</v>
      </c>
      <c r="I18" s="360">
        <f>IF(ISNUMBER((Tasas!C18-Datos!BE18)/Datos!BE18),(Tasas!C18-Datos!BE18)/Datos!BE18," - ")</f>
        <v>0.2711839800234222</v>
      </c>
      <c r="J18" s="359">
        <f>IF(ISNUMBER((Tasas!D18-Datos!BF18)/Datos!BF18),(Tasas!D18-Datos!BF18)/Datos!BF18," - ")</f>
        <v>1.4199125973779214</v>
      </c>
      <c r="K18" s="361">
        <f>IF(ISNUMBER((Tasas!E18-Datos!BG18)/Datos!BG18),(Tasas!E18-Datos!BG18)/Datos!BG18," - ")</f>
        <v>0.14301363077831647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-7.3624595469255663E-2</v>
      </c>
      <c r="E20" s="364">
        <f>IF(ISNUMBER(
   IF(D_I="SI",(Datos!J20-Datos!T20)/Datos!T20,(Datos!J20+Datos!AD20-(Datos!T20+Datos!AL20))/(Datos!T20+Datos!AL20))
     ),IF(D_I="SI",(Datos!J20-Datos!T20)/Datos!T20,(Datos!J20+Datos!AD20-(Datos!T20+Datos!AL20))/(Datos!T20+Datos!AL20))," - ")</f>
        <v>8.482261936516404E-2</v>
      </c>
      <c r="F20" s="364">
        <f>IF(ISNUMBER(
   IF(D_I="SI",(Datos!K20-Datos!U20)/Datos!U20,(Datos!K20+Datos!AE20-(Datos!U20+Datos!AM20))/(Datos!U20+Datos!AM20))
     ),IF(D_I="SI",(Datos!K20-Datos!U20)/Datos!U20,(Datos!K20+Datos!AE20-(Datos!U20+Datos!AM20))/(Datos!U20+Datos!AM20))," - ")</f>
        <v>7.1392405063291142E-2</v>
      </c>
      <c r="G20" s="365">
        <f>IF(ISNUMBER(
   IF(D_I="SI",(Datos!L20-Datos!V20)/Datos!V20,(Datos!L20+Datos!AF20-(Datos!V20+Datos!AN20))/(Datos!V20+Datos!AN20))
     ),IF(D_I="SI",(Datos!L20-Datos!V20)/Datos!V20,(Datos!L20+Datos!AF20-(Datos!V20+Datos!AN20))/(Datos!V20+Datos!AN20))," - ")</f>
        <v>-4.247787610619469E-2</v>
      </c>
      <c r="H20" s="366">
        <f>IF(ISNUMBER((Datos!M20-Datos!W20)/Datos!W20),(Datos!M20-Datos!W20)/Datos!W20," - ")</f>
        <v>-7.7844311377245512E-2</v>
      </c>
      <c r="I20" s="367">
        <f>IF(ISNUMBER((Tasas!C20-Datos!BE20)/Datos!BE20),(Tasas!C20-Datos!BE20)/Datos!BE20," - ")</f>
        <v>-0.10628251668702017</v>
      </c>
      <c r="J20" s="365">
        <f>IF(ISNUMBER((Tasas!D20-Datos!BF20)/Datos!BF20),(Tasas!D20-Datos!BF20)/Datos!BF20," - ")</f>
        <v>-0.1392923038610869</v>
      </c>
      <c r="K20" s="368">
        <f>IF(ISNUMBER((Tasas!E20-Datos!BG20)/Datos!BG20),(Tasas!E20-Datos!BG20)/Datos!BG20," - ")</f>
        <v>-4.6230463984267028E-2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-4.775900073475386E-3</v>
      </c>
      <c r="E21" s="373">
        <f>IF(ISNUMBER(
   IF(J_V="SI",(Datos!J21-Datos!T21)/Datos!T21,(Datos!J21+Datos!Z21-(Datos!T21+Datos!AH21))/(Datos!T21+Datos!AH21))
     ),IF(J_V="SI",(Datos!J21-Datos!T21)/Datos!T21,(Datos!J21+Datos!Z21-(Datos!T21+Datos!AH21))/(Datos!T21+Datos!AH21))," - ")</f>
        <v>0.12037037037037036</v>
      </c>
      <c r="F21" s="373">
        <f>IF(ISNUMBER(
   IF(J_V="SI",(Datos!K21-Datos!U21)/Datos!U21,(Datos!K21+Datos!AA21-(Datos!U21+Datos!AI21))/(Datos!U21+Datos!AI21))
     ),IF(J_V="SI",(Datos!K21-Datos!U21)/Datos!U21,(Datos!K21+Datos!AA21-(Datos!U21+Datos!AI21))/(Datos!U21+Datos!AI21))," - ")</f>
        <v>0.10718997361477572</v>
      </c>
      <c r="G21" s="374">
        <f>IF(ISNUMBER(
   IF(J_V="SI",(Datos!L21-Datos!V21)/Datos!V21,(Datos!L21+Datos!AB21-(Datos!V21+Datos!AJ21))/(Datos!V21+Datos!AJ21))
     ),IF(J_V="SI",(Datos!L21-Datos!V21)/Datos!V21,(Datos!L21+Datos!AB21-(Datos!V21+Datos!AJ21))/(Datos!V21+Datos!AJ21))," - ")</f>
        <v>8.2319695294262186E-3</v>
      </c>
      <c r="H21" s="375">
        <f>IF(ISNUMBER((Datos!M21-Datos!W21)/Datos!W21),(Datos!M21-Datos!W21)/Datos!W21," - ")</f>
        <v>0.11557788944723618</v>
      </c>
      <c r="I21" s="372">
        <f>IF(ISNUMBER((Tasas!C21-Datos!BE21)/Datos!BE21),(Tasas!C21-Datos!BE21)/Datos!BE21," - ")</f>
        <v>-8.9377619418164828E-2</v>
      </c>
      <c r="J21" s="373">
        <f>IF(ISNUMBER((Tasas!D21-Datos!BF21)/Datos!BF21),(Tasas!D21-Datos!BF21)/Datos!BF21," - ")</f>
        <v>-0.37633718174831182</v>
      </c>
      <c r="K21" s="374">
        <f>IF(ISNUMBER((Tasas!E21-Datos!BG21)/Datos!BG21),(Tasas!E21-Datos!BG21)/Datos!BG21," - ")</f>
        <v>-5.3032125350283274E-2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7.8104859357384829E-2</v>
      </c>
      <c r="E23" s="283">
        <f t="shared" si="1"/>
        <v>0.20086930455656773</v>
      </c>
      <c r="F23" s="283">
        <f t="shared" si="1"/>
        <v>0.41132550453058425</v>
      </c>
      <c r="G23" s="284">
        <f t="shared" si="1"/>
        <v>5.670857482438451E-2</v>
      </c>
      <c r="H23" s="290">
        <f t="shared" si="1"/>
        <v>2.6597787719378228</v>
      </c>
      <c r="I23" s="282">
        <f t="shared" si="1"/>
        <v>0.24250593982946322</v>
      </c>
      <c r="J23" s="283">
        <f t="shared" si="1"/>
        <v>1.6024614935649115</v>
      </c>
      <c r="K23" s="284">
        <f t="shared" si="1"/>
        <v>0.18227809273318804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nK1l+JjbvhZtc7F6ZB3SmO+nA34gwl3RyDMYPi7nwWNj8WEVoYoGhTyFnS41j/oyi+tfEbiZiNQ55EejqX0fw==" saltValue="zY3EZfyj8xUzj8StaB7J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